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tabRatio="660" firstSheet="1" activeTab="3"/>
  </bookViews>
  <sheets>
    <sheet name="Стандарт. ставки более 150кВт" sheetId="1" r:id="rId1"/>
    <sheet name="По мощности более 150кВт" sheetId="2" r:id="rId2"/>
    <sheet name="Стандарт. ставки менее 150 кВт" sheetId="3" r:id="rId3"/>
    <sheet name="По мощности менее 150 кВт" sheetId="4" r:id="rId4"/>
  </sheets>
  <definedNames>
    <definedName name="Z_6031880C_E915_4C46_A9BE_E599484C6450_.wvu.Cols" localSheetId="1" hidden="1">'По мощности более 150кВт'!$G:$H,'По мощности более 150кВт'!$L:$M,'По мощности более 150кВт'!$W:$AA</definedName>
    <definedName name="Z_6031880C_E915_4C46_A9BE_E599484C6450_.wvu.Cols" localSheetId="3" hidden="1">'По мощности менее 150 кВт'!$G:$H,'По мощности менее 150 кВт'!$M:$M,'По мощности менее 150 кВт'!$W:$Z</definedName>
    <definedName name="Z_6031880C_E915_4C46_A9BE_E599484C6450_.wvu.Cols" localSheetId="0" hidden="1">'Стандарт. ставки более 150кВт'!$A:$W,'Стандарт. ставки более 150кВт'!$AD:$AD,'Стандарт. ставки более 150кВт'!$AG:$AG</definedName>
    <definedName name="Z_6031880C_E915_4C46_A9BE_E599484C6450_.wvu.Cols" localSheetId="2" hidden="1">'Стандарт. ставки менее 150 кВт'!$A:$W,'Стандарт. ставки менее 150 кВт'!$AD:$AD,'Стандарт. ставки менее 150 кВт'!$AG:$AG</definedName>
  </definedNames>
  <calcPr fullCalcOnLoad="1"/>
</workbook>
</file>

<file path=xl/sharedStrings.xml><?xml version="1.0" encoding="utf-8"?>
<sst xmlns="http://schemas.openxmlformats.org/spreadsheetml/2006/main" count="1305" uniqueCount="301">
  <si>
    <t>6-10</t>
  </si>
  <si>
    <t>С1 за технологическое присоединение</t>
  </si>
  <si>
    <t>С2 строительство ВЛ</t>
  </si>
  <si>
    <t>руб/км</t>
  </si>
  <si>
    <t>С3 строительство КЛ</t>
  </si>
  <si>
    <t>С4 строительство подстанций</t>
  </si>
  <si>
    <t>2КТПБ-400/10/0,4</t>
  </si>
  <si>
    <t>2КТПБ-630/10/0,4</t>
  </si>
  <si>
    <t>2КТПБ-1000/10/0,4</t>
  </si>
  <si>
    <t>2КТПН-400/10/0,4</t>
  </si>
  <si>
    <t>2КТПН-630/10/0,4</t>
  </si>
  <si>
    <t>КТПН-250/10/0,4</t>
  </si>
  <si>
    <t>КТПН-400/10/0,4</t>
  </si>
  <si>
    <t>СТП-40/6/0,4</t>
  </si>
  <si>
    <t>СТП-100/6/0,4</t>
  </si>
  <si>
    <t>СТП-160/6/0,4</t>
  </si>
  <si>
    <t>СТП-250/6/0,4</t>
  </si>
  <si>
    <t>руб/кВт</t>
  </si>
  <si>
    <t>км</t>
  </si>
  <si>
    <t>Максимальная мощность:</t>
  </si>
  <si>
    <t>кВт</t>
  </si>
  <si>
    <t>Итог:</t>
  </si>
  <si>
    <t>руб (с НДС)</t>
  </si>
  <si>
    <t>руб (без НДС)</t>
  </si>
  <si>
    <t>-</t>
  </si>
  <si>
    <t>руб (НДС)</t>
  </si>
  <si>
    <t>0,4кВ менее 15</t>
  </si>
  <si>
    <t xml:space="preserve">0,4кВ более 670 </t>
  </si>
  <si>
    <t xml:space="preserve">6-10кВ менее 15 </t>
  </si>
  <si>
    <t>6-10кВ более 670</t>
  </si>
  <si>
    <t>0,4кВ АПвБбШв-1 4*25</t>
  </si>
  <si>
    <t>0,4кВ АПвБбШв-1 4*35</t>
  </si>
  <si>
    <t>0,4кВ АПвБбШв-1 4*50</t>
  </si>
  <si>
    <t>0,4кВ АПвБбШв-1 4*70</t>
  </si>
  <si>
    <t>0,4кВ АПвБбШв-1 4*95</t>
  </si>
  <si>
    <t>0,4кВ АПвБбШв-1 4*150</t>
  </si>
  <si>
    <t>0,4кВ АПвБбШв-1 4*120</t>
  </si>
  <si>
    <t>6-10кВ АСБ 3*50</t>
  </si>
  <si>
    <t>6-10кВ АСБ 3*70</t>
  </si>
  <si>
    <t>6-10кВ АСБ 3*120</t>
  </si>
  <si>
    <t>6-10кВ АСБ 3*150</t>
  </si>
  <si>
    <t>6-10кВ АСБ 3*185</t>
  </si>
  <si>
    <t>6-10кВ АСБ 3*240</t>
  </si>
  <si>
    <t>6-10кВ АСБ 3*240 ж/б</t>
  </si>
  <si>
    <t>² - Стандартизированная тарифная ставка платы за технологическое присоединение к электрическим сетям;</t>
  </si>
  <si>
    <t>³ - Стандартизированная тарифная ставка на покрытие расходов сетевой организации на строительство ВЛ электропередачи;</t>
  </si>
  <si>
    <t>⁴ - Стандартизированная тарифная ставка на покрытие расходов сетевой организации на строительство КЛ электропередачи;</t>
  </si>
  <si>
    <t>Примечание: ¹ - Индекс изменения сметной стоимости по строительно-монтажным работам;</t>
  </si>
  <si>
    <t xml:space="preserve">руб/кВт </t>
  </si>
  <si>
    <t xml:space="preserve">руб/км </t>
  </si>
  <si>
    <t>руб</t>
  </si>
  <si>
    <t>⁵ - Стандартизированная тарифная ставка на покрытие расходов сетевой организации на строительство подстанции;</t>
  </si>
  <si>
    <t>Бакунин А.В.</t>
  </si>
  <si>
    <t>Зам. директора по развитию</t>
  </si>
  <si>
    <t>Начальник ПЭО</t>
  </si>
  <si>
    <t>Организация:</t>
  </si>
  <si>
    <t>Объект:</t>
  </si>
  <si>
    <t>Адрес:</t>
  </si>
  <si>
    <t>С1²:</t>
  </si>
  <si>
    <t>С2³:</t>
  </si>
  <si>
    <t>С3⁴:</t>
  </si>
  <si>
    <t>С4⁵:</t>
  </si>
  <si>
    <t>РАСЧЕТ РАЗМЕРА ПЛАТЫ ЗА ТЕХНОЛОГИЧЕСКОЕ ПРИСОЕДИНЕНИЕ</t>
  </si>
  <si>
    <t>Беломестных О.Г.</t>
  </si>
  <si>
    <t>Тех.пр. 6-10кВ</t>
  </si>
  <si>
    <t>Тех.пр. 0,4кВ</t>
  </si>
  <si>
    <t>ВЛ 6-10кВ</t>
  </si>
  <si>
    <t>ВЛ 0,4кВ</t>
  </si>
  <si>
    <t>КЛ 6-10кВ</t>
  </si>
  <si>
    <t>КЛ 0,4кВ</t>
  </si>
  <si>
    <t>ТП</t>
  </si>
  <si>
    <t>Максимальная мощность (сущ.):</t>
  </si>
  <si>
    <t>Протяженность ВЛ 6-10кВ:</t>
  </si>
  <si>
    <t>Протяженность КЛ 6-10кВ:</t>
  </si>
  <si>
    <t>Протяженность ВЛ 0,4кВ:</t>
  </si>
  <si>
    <t>Протяженность КЛ 0,4кВ:</t>
  </si>
  <si>
    <t>Подготовка ТУ и согласование:</t>
  </si>
  <si>
    <t>Строительство ВЛ*:</t>
  </si>
  <si>
    <t>Строительство КЛ*:</t>
  </si>
  <si>
    <t>Проверка выполнения ТУ:</t>
  </si>
  <si>
    <t>Действия по  присоединению,</t>
  </si>
  <si>
    <t>Индекс¹:</t>
  </si>
  <si>
    <t>0,4кВ</t>
  </si>
  <si>
    <t>6-10кВ</t>
  </si>
  <si>
    <t>свыше 670</t>
  </si>
  <si>
    <t>подготовка ТУ и согласование</t>
  </si>
  <si>
    <t>ВЛ</t>
  </si>
  <si>
    <t>КЛ</t>
  </si>
  <si>
    <t>КТП и РТП</t>
  </si>
  <si>
    <t>Проверка выполнения ТУ</t>
  </si>
  <si>
    <t>Фактические действия по присоедин</t>
  </si>
  <si>
    <t>ставка платы с Uном 0,4кВ</t>
  </si>
  <si>
    <t>ставка платы с Uном 6-10кВ</t>
  </si>
  <si>
    <t>обеспечению работы устройств:</t>
  </si>
  <si>
    <t>шт</t>
  </si>
  <si>
    <t>КТП - комплектная трансформаторная подстанция;</t>
  </si>
  <si>
    <t>РТП - распределительная трансформаторная подстанция.</t>
  </si>
  <si>
    <t>Количество источников:</t>
  </si>
  <si>
    <t>КТПН-630/10/0,4</t>
  </si>
  <si>
    <t>0,4кВ АПвБбШв-1 4*185</t>
  </si>
  <si>
    <t xml:space="preserve">0,4кВ 15-150 </t>
  </si>
  <si>
    <t xml:space="preserve">0,4кВ 150-670 </t>
  </si>
  <si>
    <t>6-10кВ 15-150</t>
  </si>
  <si>
    <t>6-10кВ 150-670</t>
  </si>
  <si>
    <t>0,4кВ АПвБбШв-1 4*25 две нити</t>
  </si>
  <si>
    <t>0,4кВ АПвБбШв-1 4*35 две нити</t>
  </si>
  <si>
    <t>0,4кВ АПвБбШв-1 4*50 две нити</t>
  </si>
  <si>
    <t>0,4кВ АПвБбШв-1 4*70 две нити</t>
  </si>
  <si>
    <t>0,4кВ АПвБбШв-1 4*95 две нити</t>
  </si>
  <si>
    <t>0,4кВ АПвБбШв-1 4*120 две нити</t>
  </si>
  <si>
    <t>0,4кВ АПвБбШв-1 4*150 две нити</t>
  </si>
  <si>
    <t>0,4кВ АПвБбШв-1 4*185 две нити</t>
  </si>
  <si>
    <t>менее 15 - свыше 670</t>
  </si>
  <si>
    <t>150 - 670 вкл</t>
  </si>
  <si>
    <t>15 - 150 вкл</t>
  </si>
  <si>
    <t>&lt; 15</t>
  </si>
  <si>
    <t>менее 15 - свыше 670 U=0,4кВ</t>
  </si>
  <si>
    <t>менее 15 - свыше 670 U=6-10 кВ</t>
  </si>
  <si>
    <t>Строительство КТП и РТП до 35кВ:</t>
  </si>
  <si>
    <t>Промежуточный итог (без НДС)</t>
  </si>
  <si>
    <t>Квл</t>
  </si>
  <si>
    <t>Индекс</t>
  </si>
  <si>
    <t>Кт</t>
  </si>
  <si>
    <t>Ккл</t>
  </si>
  <si>
    <t>Выбери нужную КЛ, ВЛ, ТП из выпадающего списка</t>
  </si>
  <si>
    <t>6-10кВ СИП-3 35 (1 цепь)</t>
  </si>
  <si>
    <t>6-10кВ СИП-3 50 (1 цепь)</t>
  </si>
  <si>
    <t>6-10кВ СИП-3 70 (1 цепь)</t>
  </si>
  <si>
    <t>6-10кВ СИП-3 95 (1 цепь)</t>
  </si>
  <si>
    <t>6-10кВ СИП-3 120 (1 цепь)</t>
  </si>
  <si>
    <t>6-10кВ СИП-3 70 (2 цепь)</t>
  </si>
  <si>
    <t>6-10кВ СИП-3 95 (2 цепь)</t>
  </si>
  <si>
    <t>6-10кВ СИП-3 120 (2 цепь)</t>
  </si>
  <si>
    <t>0,4кВ АПвБбШв-1 4*240</t>
  </si>
  <si>
    <t>0,4кВ АВБбШВ 4*10</t>
  </si>
  <si>
    <t>0,4кВ АВБбШВ 4*35</t>
  </si>
  <si>
    <t>0,4кВ АВБбШВ 4*50</t>
  </si>
  <si>
    <t>0,4кВ АВБбШВ 4*70</t>
  </si>
  <si>
    <t>0,4кВ АВБбШВ 4*95</t>
  </si>
  <si>
    <t>0,4кВ АВБбШВ 4*120</t>
  </si>
  <si>
    <t>0,4кВ АВБбШВ 4*150</t>
  </si>
  <si>
    <t>0,4кВ АВБбШВ 4*185</t>
  </si>
  <si>
    <t>0,4кВ АВБбШВ 4*240</t>
  </si>
  <si>
    <t>0,4кВ АВБбШВ 4*50 две нити</t>
  </si>
  <si>
    <t>0,4кВ АВБбШВ 4*70 две нити</t>
  </si>
  <si>
    <t>0,4кВ АВБбШВ 4*95 две нити</t>
  </si>
  <si>
    <t>0,4кВ АВБбШВ 4*120 две нити</t>
  </si>
  <si>
    <t>0,4кВ АВБбШВ 4*150 две нити</t>
  </si>
  <si>
    <t>0,4кВ АВБбШВ 4*185 две нити</t>
  </si>
  <si>
    <t>0,4кВ АВБбШВ 4*240 две нити</t>
  </si>
  <si>
    <t>6-10кВ АСБ 3*95</t>
  </si>
  <si>
    <t>строительство РП с 12 высоковольтными ячейками</t>
  </si>
  <si>
    <t>строительство РП с 24 высоковольтными ячейками</t>
  </si>
  <si>
    <t>строительство реклоузера</t>
  </si>
  <si>
    <t>строительство РП 11МВт</t>
  </si>
  <si>
    <t>строительство РП 5-7МВт</t>
  </si>
  <si>
    <t>строительство КСО-386-11</t>
  </si>
  <si>
    <t>участие в осмотре должностным лицом органа федер гос энергонадзора</t>
  </si>
  <si>
    <t>Участие в осмотре должностным лицом органа федер гос энергонадзора</t>
  </si>
  <si>
    <t>0,4кВ СИП-2 3*185+1*95 СИП на ж/б опорах</t>
  </si>
  <si>
    <t>0,4кВ А-35 на ж/б опорах</t>
  </si>
  <si>
    <t>0,4кВ 4А-50 на ж/б опорах</t>
  </si>
  <si>
    <t>6-10кВ СИП-3 35 (1 цепь) на ж/б опорах</t>
  </si>
  <si>
    <t>6-10кВ СИП-3 50 (1 цепь) на ж/б опорах</t>
  </si>
  <si>
    <t>6-10кВ СИП-3 70 (1 цепь) на ж/б опорах</t>
  </si>
  <si>
    <t>6-10кВ СИП-3 95 (1 цепь) на ж/б опорах</t>
  </si>
  <si>
    <t>6-10кВ СИП-3 120 (1 цепь) на ж/б опорах</t>
  </si>
  <si>
    <t>6-10кВ СИП-3 70 (2 цепь) на ж/б опорах</t>
  </si>
  <si>
    <t>6-10кВ СИП-3 95 (2 цепь) на ж/б опорах</t>
  </si>
  <si>
    <t>6-10кВ СИП-3 120 (2 цепь) на ж/б опорах</t>
  </si>
  <si>
    <t>6-10кВ АС-25 (1 цепь) на ж/б опорах</t>
  </si>
  <si>
    <t>6-10кВ АС-50 (1 цепь) на ж/б опорах</t>
  </si>
  <si>
    <t>6-10кВ 3АС-70 (1 цепь) на ж/б опорах</t>
  </si>
  <si>
    <t>6-10кВ АС-95 (1 цепь) на ж/б опорах</t>
  </si>
  <si>
    <t>6-10кВ АС-95 (2 цепь) на ж/б опорах</t>
  </si>
  <si>
    <t>6-10кВ СИП3 1*70 (1 цепь) без опор</t>
  </si>
  <si>
    <t>6-10кВ АСБ 3*50 без ГНБ</t>
  </si>
  <si>
    <t>6-10кВ АСБ 3*50 две нити без ГНБ</t>
  </si>
  <si>
    <t>6-10кВ АСБ 3*70 без ГНБ</t>
  </si>
  <si>
    <t>6-10кВ АСБ 3*70 две нити без ГНБ</t>
  </si>
  <si>
    <t>6-10кВ АСБ 3*95 без ГНБ</t>
  </si>
  <si>
    <t>6-10кВ АСБ 3*120 без ГНБ</t>
  </si>
  <si>
    <t>6-10кВ АСБ 3*120 две нити без ГНБ</t>
  </si>
  <si>
    <t>6-10кВ АСБ 3*150 без ГНБ</t>
  </si>
  <si>
    <t>6-10кВ АСБ 3*150 две нити без ГНБ</t>
  </si>
  <si>
    <t>6-10кВ АСБ 3*185 без ГНБ</t>
  </si>
  <si>
    <t>6-10кВ АСБ 3*185 две нити без ГНБ</t>
  </si>
  <si>
    <t>6-10кВ АСБ 3*240 без ГНБ</t>
  </si>
  <si>
    <t>6-10кВ АСБ 3*240 две нити без ГНБ</t>
  </si>
  <si>
    <t>6-10кВ АСБ 3*240 ж/б лотках две нити без ГНБ</t>
  </si>
  <si>
    <t>6-10кВ ААБл-10 3*70</t>
  </si>
  <si>
    <t>6-10кВ ААБл-10 3*95</t>
  </si>
  <si>
    <t>6-10кВ ААБл-10 3*120</t>
  </si>
  <si>
    <t>6-10кВ ААБл-10 3*150</t>
  </si>
  <si>
    <t>6-10кВ ААБл-10 3*185</t>
  </si>
  <si>
    <t>6-10кВ ААБл-10 3*240</t>
  </si>
  <si>
    <t>6-10кВ ААБл-10 3*185 две нити без ГНБ</t>
  </si>
  <si>
    <t>6-10кВ АПвП-1*50</t>
  </si>
  <si>
    <t>6-10кВ АПвП-1*70</t>
  </si>
  <si>
    <t>6-10кВ АПвП-1*95</t>
  </si>
  <si>
    <t>6-10кВ АПвП-1*120</t>
  </si>
  <si>
    <t>6-10кВ АПвП-1*150</t>
  </si>
  <si>
    <t>6-10кВ АПвП-1*185</t>
  </si>
  <si>
    <t>6-10кВ АПвП-1*240</t>
  </si>
  <si>
    <t>6-10кВ АПвП-1*300</t>
  </si>
  <si>
    <t>6-10кВ АПвП-1*400</t>
  </si>
  <si>
    <t>6-10кВ АПвП-1*500</t>
  </si>
  <si>
    <t>6-10кВ АПвП-1*630</t>
  </si>
  <si>
    <t>6-10кВ АПвП-1*50 две нити</t>
  </si>
  <si>
    <t>6-10кВ АПвП-1*70 две нити</t>
  </si>
  <si>
    <t>6-10кВ АПвП-1*95 две нити</t>
  </si>
  <si>
    <t>6-10кВ АПвП-1*120 две нити</t>
  </si>
  <si>
    <t>6-10кВ АПвП-1*150 две нити</t>
  </si>
  <si>
    <t>6-10кВ АПвП-1*185 две нити</t>
  </si>
  <si>
    <t>6-10кВ АПвП-1*240 две нити</t>
  </si>
  <si>
    <t>6-10кВ АПвП-1*300 две нити</t>
  </si>
  <si>
    <t>6-10кВ АПвП-1*400 две нити</t>
  </si>
  <si>
    <t>6-10кВ АПвП-1*500 две нити</t>
  </si>
  <si>
    <t>6-10кВ АПвП-1*630 две нити</t>
  </si>
  <si>
    <t>КТПК 63кВА,6(10)/0,4 киосковый тип</t>
  </si>
  <si>
    <t>КТПК 100кВА,6(10)/0,4 киосковый тип</t>
  </si>
  <si>
    <t>КТПК 160кВА,6(10)/0,4 киосковый тип</t>
  </si>
  <si>
    <t>КТПК 250кВА,6(10)/0,4 киосковый тип</t>
  </si>
  <si>
    <t>КТПК 400кВА,6(10)/0,4 киосковый тип</t>
  </si>
  <si>
    <t>КТПК 630кВА,6(10)/0,4 киосковый тип</t>
  </si>
  <si>
    <t>КТПК 1000кВА,6(10)/0,4 киосковый тип</t>
  </si>
  <si>
    <t>2КТПНУ-250кВА,6(10)/0,4</t>
  </si>
  <si>
    <t>КТПК 2*160кВА,6(10)/0,4 киосковый тип</t>
  </si>
  <si>
    <t>2КТПНУ-400кВА,6(10)/0,4</t>
  </si>
  <si>
    <t>2КТПНУ-630кВА,6(10)/0,4</t>
  </si>
  <si>
    <t>2КТПНУ-1000кВА,6(10)/0,4</t>
  </si>
  <si>
    <t>КТП-25кВА, столбовая</t>
  </si>
  <si>
    <t>КТП-40кВА, столбовая</t>
  </si>
  <si>
    <t>КТП-63кВА, столбовая</t>
  </si>
  <si>
    <t>КТП-100кВА, столбовая</t>
  </si>
  <si>
    <t>БКТП-400кВА</t>
  </si>
  <si>
    <t>БКТП-630кВА</t>
  </si>
  <si>
    <t>БКТП-1000кВА</t>
  </si>
  <si>
    <t>2КТП-100кВА киоского типа</t>
  </si>
  <si>
    <t>строительство БКРПТ 2*1250кВА</t>
  </si>
  <si>
    <t>строительство РТП 2*1000 кВА</t>
  </si>
  <si>
    <t>0,4кВ СИП-2 3*16+1*25  на ж/б опорах</t>
  </si>
  <si>
    <t>0,4кВ СИП-2 3*25+1*35  на ж/б опорах</t>
  </si>
  <si>
    <t>0,4кВ СИП-2 3*35+1*54,6  на ж/б опорах</t>
  </si>
  <si>
    <t>0,4кВ СИП-2 3*50+1*50 на ж/б опорах</t>
  </si>
  <si>
    <t>0,4кВ СИП-2 3*70+1*70  на ж/б опорах</t>
  </si>
  <si>
    <t>0,4кВ СИП-2 3*95+1*95  на ж/б опорах</t>
  </si>
  <si>
    <t>0,4кВ СИП-2 3*120+1*95  на ж/б опорах</t>
  </si>
  <si>
    <t>0,4кВ СИП-2 3*185+1*95  на ж/б опорах</t>
  </si>
  <si>
    <t>0,4кВ СИП-4 4*25  на ж/б опорах</t>
  </si>
  <si>
    <t>0,4кВ СИП-4 4*35  на ж/б опорах</t>
  </si>
  <si>
    <t>0,4кВ СИП-4 4*50  на ж/б опорах</t>
  </si>
  <si>
    <t>0,4кВ СИП-4 4*70  на ж/б опорах</t>
  </si>
  <si>
    <t>0,4кВ СИП-4 4*95  на ж/б опорах</t>
  </si>
  <si>
    <t>0,4кВ СИП-4 4*120  на ж/б опорах</t>
  </si>
  <si>
    <t>0,4кВ СИП-2 3*50+1*50 подвес без опор</t>
  </si>
  <si>
    <t>0,4кВ СИП-4 4*25  подвес без опор</t>
  </si>
  <si>
    <t>0,4кВ СИП-4 4*35  подвес без опор</t>
  </si>
  <si>
    <t>0,4кВ СИП-4 4*50 подвес без опор</t>
  </si>
  <si>
    <t>0,4кВ СИП-4 4*70  подвес без опор</t>
  </si>
  <si>
    <t>0,4кВ СИП-4 4*95  подвес без опор</t>
  </si>
  <si>
    <t>0,4кВ СИП-4 4*120 подвес без опор</t>
  </si>
  <si>
    <t>0,4кВ СИП-2 3*16+1*25 на ж/б опорах</t>
  </si>
  <si>
    <t>0,4кВ СИП-2 3*25+1*35 на ж/б опорах</t>
  </si>
  <si>
    <t>0,4кВ СИП-2 3*35+1*54,6 на ж/б опорах</t>
  </si>
  <si>
    <t>0,4кВ СИП-2 3*70+1*70 на ж/б опорах</t>
  </si>
  <si>
    <t>0,4кВ СИП-2 3*95+1*95 на ж/б опорах</t>
  </si>
  <si>
    <t>0,4кВ СИП-2 3*120+1*95 на ж/б опорах</t>
  </si>
  <si>
    <t>0,4кВ СИП-4 4*25 на ж/б опорах</t>
  </si>
  <si>
    <t>0,4кВ СИП-4 4*35 на ж/б опорах</t>
  </si>
  <si>
    <t>0,4кВ СИП-4 4*50 на ж/б опорах</t>
  </si>
  <si>
    <t>0,4кВ СИП-4 4*70 на ж/б опорах</t>
  </si>
  <si>
    <t>0,4кВ СИП-4 4*95 на ж/б опорах</t>
  </si>
  <si>
    <t>0,4кВ СИП-4 4*120 на ж/б опорах</t>
  </si>
  <si>
    <t>6-10кВ АС-35 (1 цепь) на ж/б опорах</t>
  </si>
  <si>
    <t>6-10кВ ААБл-10 3*185 две нити</t>
  </si>
  <si>
    <t>монтаж КТПК 63кВА,6(10)/0,4 киосковый тип</t>
  </si>
  <si>
    <t>монтаж КТПК 100кВА,6(10)/0,4 киосковый тип</t>
  </si>
  <si>
    <t>монтаж КТПК 160кВА,6(10)/0,4 киосковый тип</t>
  </si>
  <si>
    <t>монтаж КТПК 250кВА,6(10)/0,4 киосковый тип</t>
  </si>
  <si>
    <t>монтаж КТПК 400кВА,6(10)/0,4 киосковый тип</t>
  </si>
  <si>
    <t>монтаж КТПК 630кВА,6(10)/0,4 киосковый тип</t>
  </si>
  <si>
    <t>монтаж КТПК 1000кВА,6(10)/0,4 киосковый тип</t>
  </si>
  <si>
    <t>монтаж КТПК 2*160кВА,6(10)/0,4 киосковый тип</t>
  </si>
  <si>
    <t>монтаж 2КТПНУ-250кВА,6(10)/0,4</t>
  </si>
  <si>
    <t>монтаж 2КТПНУ-400кВА,6(10)/0,4</t>
  </si>
  <si>
    <t>монтаж 2КТПНУ-630кВА,6(10)/0,4</t>
  </si>
  <si>
    <t>монтаж 2КТПНУ-1000кВА,6(10)/0,4</t>
  </si>
  <si>
    <t>0,4кВ устройство переходов методом ГНБ с учетом кабеля</t>
  </si>
  <si>
    <t>6-10кВ устройство переходов методом ГНБ с учетом кабеля</t>
  </si>
  <si>
    <t>Промежуточный итог     (без НДС)</t>
  </si>
  <si>
    <t>ПО СТАНДАРТИЗИРОВАННЫМ ТАРИФНЫМ СТАВКАМ ДЛЯ ЗАЯВИТЕЛЕЙ СВЫШЕ 150 кВт</t>
  </si>
  <si>
    <t>РАСЧЕТ РАЗМЕРА ПЛАТЫ ЗА ТЕХНОЛОГИЧЕСКОЕ ПРИСОЕДИНЕНИЕ ЕДИНИЦЫ МОЩНОСТИ ДЛЯ ЗАЯВИТЕЛЕЙ  СВЫШЕ 150 кВт</t>
  </si>
  <si>
    <t>РАСЧЕТ РАЗМЕРА ПЛАТЫ ЗА ТЕХНОЛОГИЧЕСКОЕ ПРИСОЕДИНЕНИЕ ПО СТАНДАРТИЗИРОВАННЫМ ТАРИФНЫМ СТАВКАМ ДЛЯ ЗАЯВИТЕЛЕЙ МЕНЕЕ 150 кВт</t>
  </si>
  <si>
    <t>РАСЧЕТ РАЗМЕРА ПЛАТЫ ЗА ТЕХНОЛОГИЧЕСКОЕ ПРИСОЕДИНЕНИЕ ЕДИНИЦЫ МОЩНОСТИ ДЛЯ ЗАЯВИТЕЛЕЙ МЕНЕЕ 150 кВт</t>
  </si>
  <si>
    <t>Инструкция по заполнению</t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</si>
  <si>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п.1: введите длину воздушной линии 6-10 кВ ;
    п.2: введите длину кабельной линии 6-10 кВ;
    п.3: введите длину кабельной линии 6-10 кВ;
    п.4: введите длину воздушной линии 0,4 кВ;
    п.5: введите длину кабельной линии 0,4 кВ;
    В п.1-п.5 вводятся длины (кабельной или воздушной) линий в киллометрах , которые необходимо построить от энергообъектов ООО «БСК» до участка заявителя.
    В п.6 вводится максимальная мощность  присоединяемых энергопринимающих устройств.
    п.7 заполняется для объектов, которые ранее были присоединены, но у которых произошло  увеличение мощности в существующей точке присоединения.
</t>
    </r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Если присоединение происходит на уровне напряжения 6-10 кВ, то выберете п.8 и нажав на стрелку в ячейке АВ17 выберете  диапазон мощности.
    Если присоединение происходит на уровне напряжения 0,4 кВ, то выберете п.9 и нажав на стрелку в ячейке АВ18 выберете  диапазон мощности.
    Если воздушная линия имеет уровень напряжения 6-10 кВ, то выберете п.10 и нажав на стрелку в ячейке АВ19 выберете  нужную марку и сечение.
    Если воздушная линия имеет уровень напряжения 0,4 кВ, то выберете п.11 и нажав на стрелку в ячейке АВ20 выберете  нужную марку и сечение.
    Если кабельная линия имеет  уровень напряжения 6-10 кВ, то выберете п.12 и нажав на стрелку в ячейке АВ21 выберете  нужную марку и сечение.
    Если 2 кабельные линии имеют  уровень напряжения 6-10 кВ, то выберете п.12 и п.13 и нажав на стрелку в ячейках АВ 21 (22) выберете  нужную марку и сечение.
    Если кабельная линия имеет уровень напряжения 0,4 кВ, то выберете п.14 и нажав на стрелку в ячейке АВ23 выберете  нужную марку и сечение.
    Если нужно построить Трансформаторную подстанцию, то выберете п.15 и нажав на стрелку в ячейке АВ24  выберете тип ТП.</t>
    </r>
    <r>
      <rPr>
        <sz val="10"/>
        <color indexed="8"/>
        <rFont val="Times New Roman"/>
        <family val="1"/>
      </rPr>
      <t xml:space="preserve">
</t>
    </r>
  </si>
  <si>
    <r>
      <rPr>
        <b/>
        <i/>
        <sz val="12"/>
        <color indexed="8"/>
        <rFont val="Times New Roman"/>
        <family val="1"/>
      </rPr>
      <t xml:space="preserve">1. </t>
    </r>
    <r>
      <rPr>
        <sz val="12"/>
        <color indexed="8"/>
        <rFont val="Times New Roman"/>
        <family val="1"/>
      </rPr>
      <t xml:space="preserve">В п.1 вводится количество источников электроснабжения;
     В п.2 вводится максимальная мощность  присоединенных энергопринимающих устройств.
     п.3 заполняется для объектов, которые ранее были присоединены, но у которых произошло  увеличение мощности в существующей точке присоединения.
     п. 4, 14, 17: являются обязательными. В зависимости от уровня напряжения (0,4 кВ либо 6-10 кВ). нажав на стрелку выбирается  диапазон мощности </t>
    </r>
    <r>
      <rPr>
        <b/>
        <i/>
        <sz val="12"/>
        <color indexed="8"/>
        <rFont val="Times New Roman"/>
        <family val="1"/>
      </rPr>
      <t xml:space="preserve">
2. </t>
    </r>
    <r>
      <rPr>
        <sz val="12"/>
        <color indexed="8"/>
        <rFont val="Times New Roman"/>
        <family val="1"/>
      </rPr>
      <t>Если воздушная линия имеет уровень напряжения 6-10 кВ, то выберете п.9 и нажав на стрелку в ячейке Е18 выберете  диапазон мощности.
     Если воздушная линия имеет уровень напряжения 0,4 кВ, то выберете п.8 и нажав на стрелку в ячейке Е17 выберете  диапазон мощности.
     Если кабельная линия имеет  уровень напряжения 6-10 кВ, то выберете п.12 и нажав на стрелку в ячейке Е21 выберете  диапазон мощности.
     Если кабельная линия имеет уровень напряжения 0,4 кВ, то выберете п.11 и нажав на стрелку в ячейке Е20 выберете  диапазон мощности.
     Если нужно построить Трансформаторную подстанцию, то выберете п.13 и нажав на стрелку в ячейке Е22 выберете  диапазон мощности.</t>
    </r>
    <r>
      <rPr>
        <b/>
        <i/>
        <sz val="11"/>
        <color indexed="8"/>
        <rFont val="Calibri"/>
        <family val="2"/>
      </rPr>
      <t xml:space="preserve">
</t>
    </r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</si>
  <si>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п.1: введите длину воздушной линии 6-10 кВ ;
    п.2: введите длину кабельной линии 6-10 кВ;
    п.3: введите длину кабельной линии 6-10 кВ, при наличии второй высоковольтной линии;
    п.4: введите длину воздушной линии 0,4 кВ;
    п.5: введите длину кабельной линии 0,4 кВ;
    В п.1-п.5 вводятся длины (кабельной или воздушной) линий в киллометрах, которые необходимо построить от энергообъектов ООО «БСК» до участка заявителя.
    В п.6 вводится максимальная мощность  присоединяемых энергопринимающих устройств.
    п.7 заполняется для объектов, которые ранее были присоединены, но у которых произошло  увеличение мощности в существующей точке присоединения.
</t>
    </r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Если присоединение происходит на уровне напряжения 6-10 кВ, то выберете п.8 и нажав на стрелку в ячейке АА17 выберете  диапазон мощности.
    Если присоединение происходит на уровне напряжения 0,4 кВ, то выберете п.9 и нажав на стрелку в ячейке АА18 выберете  диапазон мощности.
    Если воздушная линия имеет уровень напряжения 6-10 кВ, то выберете п.10 и нажав на стрелку в ячейке АА19 выберете  нужную марку и сечение.
    Если воздушная линия имеет уровень напряжения 0,4 кВ, то выберете п.11 и нажав на стрелку в ячейке АА20 выберете  нужную марку и сечение.
    Если кабельная линия имеет  уровень напряжения 6-10 кВ, то выберете п.12 и нажав на стрелку  в ячейке АА21 выберете  нужную марку и сечение.
    Если 2 кабельные линии имеют  уровень напряжения 6-10 кВ, то выберете п.12 и п.13 и нажав на стрелку в ячейках АА21 (22) выберете  нужную марку и сечение.
    Если кабельная линия имеет уровень напряжения 0,4 кВ, то выберете п.14 и нажав на стрелку  в ячейке АА23выберете  нужную марку и сечение.
    Если нужно построить Трансформаторную подстанцию, то выберете п.15 и нажав на стрелку  в ячейке АА24выберете тип ТП.</t>
    </r>
  </si>
  <si>
    <r>
      <rPr>
        <b/>
        <sz val="11"/>
        <color indexed="8"/>
        <rFont val="Times New Roman"/>
        <family val="1"/>
      </rPr>
      <t>1.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п.1  количество источников электроснабжения вводить число 1;
    В п.2 вводится максимальная мощность  присоединенных энергопринимающих устройств.
    п.3 заполняется для объектов, которые ранее были присоединены, но у которых произошло  увеличение мощности в существующей точке присоединения.
    п. 4, 14, 17: являются обязательными. В зависимости от уровня напряжения (0,4 кВ либо 6-10 кВ). нажав на стрелку выбирается  диапазон мощности 
</t>
    </r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Если воздушная линия имеет уровень напряжения 6-10 кВ, то выберете п.9 и нажав на стрелку в ячейке Е18 выберете  диапазон мощности.
    Если воздушная линия имеет уровень напряжения 0,4 кВ, то выберете п.8 и нажав на стрелку в ячейке Е17  выберете  диапазон мощности.
    Если кабельная линия имеет  уровень напряжения 6-10 кВ, то выберете п.12 и нажав на стрелкув ячейке Е21 выберете  диапазон мощности.
    Если кабельная линия имеет уровень напряжения 0,4 кВ, то выберете п.11 и нажав на стрелку в ячейке Е20 выберете  диапазон мощности.
    Если нужно построить Трансформаторную подстанцию, то выберете п.13 и нажав на стрелку в ячейке Е22 выберете  диапазон мощности.</t>
    </r>
    <r>
      <rPr>
        <sz val="11"/>
        <color indexed="8"/>
        <rFont val="Times New Roman"/>
        <family val="1"/>
      </rPr>
      <t xml:space="preserve">
</t>
    </r>
  </si>
  <si>
    <t>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</si>
</sst>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4" fontId="55" fillId="0" borderId="0" xfId="0" applyNumberFormat="1" applyFont="1" applyBorder="1" applyAlignment="1" applyProtection="1">
      <alignment/>
      <protection hidden="1"/>
    </xf>
    <xf numFmtId="49" fontId="55" fillId="0" borderId="0" xfId="0" applyNumberFormat="1" applyFont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49" fontId="55" fillId="0" borderId="0" xfId="0" applyNumberFormat="1" applyFont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49" fontId="55" fillId="0" borderId="0" xfId="0" applyNumberFormat="1" applyFont="1" applyFill="1" applyBorder="1" applyAlignment="1" applyProtection="1">
      <alignment/>
      <protection hidden="1"/>
    </xf>
    <xf numFmtId="4" fontId="56" fillId="0" borderId="0" xfId="0" applyNumberFormat="1" applyFont="1" applyBorder="1" applyAlignment="1" applyProtection="1">
      <alignment/>
      <protection hidden="1"/>
    </xf>
    <xf numFmtId="4" fontId="55" fillId="0" borderId="0" xfId="0" applyNumberFormat="1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locked="0"/>
    </xf>
    <xf numFmtId="165" fontId="55" fillId="0" borderId="0" xfId="0" applyNumberFormat="1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9" fontId="55" fillId="0" borderId="0" xfId="0" applyNumberFormat="1" applyFont="1" applyBorder="1" applyAlignment="1" applyProtection="1">
      <alignment horizontal="left"/>
      <protection locked="0"/>
    </xf>
    <xf numFmtId="49" fontId="55" fillId="0" borderId="0" xfId="0" applyNumberFormat="1" applyFont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left"/>
      <protection locked="0"/>
    </xf>
    <xf numFmtId="49" fontId="55" fillId="0" borderId="0" xfId="0" applyNumberFormat="1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55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right"/>
      <protection locked="0"/>
    </xf>
    <xf numFmtId="0" fontId="59" fillId="0" borderId="0" xfId="0" applyFont="1" applyBorder="1" applyAlignment="1" applyProtection="1">
      <alignment/>
      <protection hidden="1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 horizontal="left"/>
      <protection hidden="1"/>
    </xf>
    <xf numFmtId="0" fontId="56" fillId="0" borderId="0" xfId="0" applyFont="1" applyBorder="1" applyAlignment="1" applyProtection="1">
      <alignment/>
      <protection hidden="1"/>
    </xf>
    <xf numFmtId="2" fontId="5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5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55" fillId="0" borderId="0" xfId="0" applyNumberFormat="1" applyFont="1" applyBorder="1" applyAlignment="1" applyProtection="1">
      <alignment/>
      <protection locked="0"/>
    </xf>
    <xf numFmtId="0" fontId="55" fillId="0" borderId="0" xfId="0" applyFont="1" applyAlignment="1" applyProtection="1">
      <alignment horizontal="right"/>
      <protection locked="0"/>
    </xf>
    <xf numFmtId="0" fontId="55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0" fontId="32" fillId="0" borderId="0" xfId="0" applyFont="1" applyBorder="1" applyAlignment="1">
      <alignment/>
    </xf>
    <xf numFmtId="49" fontId="32" fillId="0" borderId="10" xfId="0" applyNumberFormat="1" applyFont="1" applyBorder="1" applyAlignment="1">
      <alignment/>
    </xf>
    <xf numFmtId="164" fontId="32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49" fontId="32" fillId="33" borderId="10" xfId="0" applyNumberFormat="1" applyFont="1" applyFill="1" applyBorder="1" applyAlignment="1">
      <alignment/>
    </xf>
    <xf numFmtId="0" fontId="32" fillId="33" borderId="10" xfId="0" applyFont="1" applyFill="1" applyBorder="1" applyAlignment="1">
      <alignment/>
    </xf>
    <xf numFmtId="49" fontId="32" fillId="33" borderId="10" xfId="0" applyNumberFormat="1" applyFont="1" applyFill="1" applyBorder="1" applyAlignment="1">
      <alignment/>
    </xf>
    <xf numFmtId="49" fontId="32" fillId="33" borderId="10" xfId="0" applyNumberFormat="1" applyFont="1" applyFill="1" applyBorder="1" applyAlignment="1">
      <alignment horizontal="center"/>
    </xf>
    <xf numFmtId="4" fontId="3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5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32" fillId="0" borderId="0" xfId="0" applyFont="1" applyBorder="1" applyAlignment="1">
      <alignment/>
    </xf>
    <xf numFmtId="0" fontId="55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locked="0"/>
    </xf>
    <xf numFmtId="2" fontId="3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2" fontId="55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/>
    </xf>
    <xf numFmtId="49" fontId="32" fillId="34" borderId="10" xfId="0" applyNumberFormat="1" applyFont="1" applyFill="1" applyBorder="1" applyAlignment="1">
      <alignment/>
    </xf>
    <xf numFmtId="0" fontId="32" fillId="34" borderId="10" xfId="0" applyNumberFormat="1" applyFont="1" applyFill="1" applyBorder="1" applyAlignment="1">
      <alignment horizontal="center"/>
    </xf>
    <xf numFmtId="49" fontId="32" fillId="34" borderId="10" xfId="0" applyNumberFormat="1" applyFont="1" applyFill="1" applyBorder="1" applyAlignment="1">
      <alignment horizontal="center"/>
    </xf>
    <xf numFmtId="4" fontId="32" fillId="34" borderId="10" xfId="0" applyNumberFormat="1" applyFont="1" applyFill="1" applyBorder="1" applyAlignment="1">
      <alignment horizontal="center"/>
    </xf>
    <xf numFmtId="4" fontId="32" fillId="33" borderId="12" xfId="0" applyNumberFormat="1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/>
    </xf>
    <xf numFmtId="49" fontId="32" fillId="33" borderId="0" xfId="0" applyNumberFormat="1" applyFont="1" applyFill="1" applyBorder="1" applyAlignment="1">
      <alignment horizontal="center"/>
    </xf>
    <xf numFmtId="4" fontId="32" fillId="33" borderId="0" xfId="0" applyNumberFormat="1" applyFont="1" applyFill="1" applyBorder="1" applyAlignment="1">
      <alignment horizontal="center"/>
    </xf>
    <xf numFmtId="49" fontId="32" fillId="33" borderId="12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49" fontId="32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49" fontId="32" fillId="0" borderId="12" xfId="0" applyNumberFormat="1" applyFont="1" applyFill="1" applyBorder="1" applyAlignment="1">
      <alignment wrapText="1"/>
    </xf>
    <xf numFmtId="0" fontId="55" fillId="0" borderId="0" xfId="0" applyNumberFormat="1" applyFont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2" fontId="55" fillId="0" borderId="0" xfId="0" applyNumberFormat="1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 wrapText="1"/>
      <protection locked="0"/>
    </xf>
    <xf numFmtId="0" fontId="55" fillId="0" borderId="0" xfId="0" applyFont="1" applyBorder="1" applyAlignment="1">
      <alignment wrapText="1"/>
    </xf>
    <xf numFmtId="9" fontId="0" fillId="0" borderId="0" xfId="57" applyFont="1" applyBorder="1" applyAlignment="1">
      <alignment/>
    </xf>
    <xf numFmtId="0" fontId="55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9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7" fillId="0" borderId="0" xfId="0" applyFont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/>
      <protection hidden="1"/>
    </xf>
    <xf numFmtId="0" fontId="55" fillId="0" borderId="0" xfId="0" applyFont="1" applyAlignment="1" applyProtection="1">
      <alignment horizontal="center" wrapText="1"/>
      <protection hidden="1"/>
    </xf>
    <xf numFmtId="0" fontId="56" fillId="0" borderId="0" xfId="0" applyFont="1" applyAlignment="1">
      <alignment wrapText="1"/>
    </xf>
    <xf numFmtId="2" fontId="55" fillId="0" borderId="0" xfId="0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55" fillId="0" borderId="0" xfId="0" applyFont="1" applyBorder="1" applyAlignment="1" applyProtection="1">
      <alignment/>
      <protection locked="0"/>
    </xf>
    <xf numFmtId="0" fontId="61" fillId="0" borderId="0" xfId="0" applyFont="1" applyAlignment="1" applyProtection="1">
      <alignment horizontal="center" vertical="center" wrapText="1"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56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59" fillId="0" borderId="0" xfId="0" applyFont="1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65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0" fontId="66" fillId="0" borderId="0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55" fillId="0" borderId="0" xfId="0" applyFont="1" applyBorder="1" applyAlignment="1" applyProtection="1">
      <alignment horizontal="left" vertical="distributed" wrapText="1"/>
      <protection hidden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horizontal="center" wrapText="1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4" tint="0.5999900102615356"/>
    <pageSetUpPr fitToPage="1"/>
  </sheetPr>
  <dimension ref="A1:AO212"/>
  <sheetViews>
    <sheetView zoomScaleSheetLayoutView="100" workbookViewId="0" topLeftCell="X1">
      <selection activeCell="Z6" sqref="Z6"/>
    </sheetView>
  </sheetViews>
  <sheetFormatPr defaultColWidth="22.7109375" defaultRowHeight="15" outlineLevelRow="1"/>
  <cols>
    <col min="1" max="23" width="22.7109375" style="0" hidden="1" customWidth="1"/>
    <col min="24" max="24" width="6.28125" style="0" customWidth="1"/>
    <col min="25" max="25" width="15.8515625" style="0" customWidth="1"/>
    <col min="26" max="26" width="23.7109375" style="0" customWidth="1"/>
    <col min="27" max="27" width="16.57421875" style="0" customWidth="1"/>
    <col min="28" max="28" width="1.8515625" style="0" customWidth="1"/>
    <col min="29" max="29" width="8.28125" style="0" customWidth="1"/>
    <col min="30" max="30" width="22.7109375" style="0" hidden="1" customWidth="1"/>
    <col min="31" max="31" width="16.57421875" style="0" customWidth="1"/>
    <col min="32" max="32" width="5.57421875" style="0" customWidth="1"/>
    <col min="33" max="33" width="22.7109375" style="0" hidden="1" customWidth="1"/>
  </cols>
  <sheetData>
    <row r="1" spans="1:41" ht="18.75">
      <c r="A1" s="162"/>
      <c r="B1" s="162"/>
      <c r="C1" s="162"/>
      <c r="D1" s="162"/>
      <c r="E1" s="162"/>
      <c r="F1" s="163"/>
      <c r="G1" s="163"/>
      <c r="H1" s="163"/>
      <c r="I1" s="163"/>
      <c r="J1" s="32"/>
      <c r="K1" s="32"/>
      <c r="L1" s="163"/>
      <c r="M1" s="162"/>
      <c r="N1" s="162"/>
      <c r="O1" s="162"/>
      <c r="P1" s="32"/>
      <c r="Q1" s="32"/>
      <c r="R1" s="163"/>
      <c r="S1" s="162"/>
      <c r="T1" s="162"/>
      <c r="U1" s="32"/>
      <c r="V1" s="1"/>
      <c r="W1" s="1"/>
      <c r="X1" s="164" t="s">
        <v>62</v>
      </c>
      <c r="Y1" s="153"/>
      <c r="Z1" s="153"/>
      <c r="AA1" s="153"/>
      <c r="AB1" s="153"/>
      <c r="AC1" s="153"/>
      <c r="AD1" s="153"/>
      <c r="AE1" s="153"/>
      <c r="AF1" s="153"/>
      <c r="AG1" s="153"/>
      <c r="AH1" s="4"/>
      <c r="AI1" s="4"/>
      <c r="AJ1" s="4"/>
      <c r="AK1" s="4"/>
      <c r="AL1" s="4"/>
      <c r="AM1" s="4"/>
      <c r="AN1" s="4"/>
      <c r="AO1" s="4"/>
    </row>
    <row r="2" spans="1:33" ht="34.5" customHeight="1">
      <c r="A2" s="31"/>
      <c r="B2" s="34"/>
      <c r="C2" s="34"/>
      <c r="D2" s="31"/>
      <c r="E2" s="31"/>
      <c r="F2" s="35"/>
      <c r="G2" s="35"/>
      <c r="H2" s="35"/>
      <c r="I2" s="35"/>
      <c r="J2" s="32"/>
      <c r="K2" s="32"/>
      <c r="L2" s="35"/>
      <c r="M2" s="31"/>
      <c r="N2" s="31"/>
      <c r="O2" s="31"/>
      <c r="P2" s="32"/>
      <c r="Q2" s="32"/>
      <c r="R2" s="35"/>
      <c r="S2" s="31"/>
      <c r="T2" s="31"/>
      <c r="U2" s="32"/>
      <c r="V2" s="1"/>
      <c r="W2" s="1"/>
      <c r="X2" s="164" t="s">
        <v>291</v>
      </c>
      <c r="Y2" s="151"/>
      <c r="Z2" s="151"/>
      <c r="AA2" s="151"/>
      <c r="AB2" s="151"/>
      <c r="AC2" s="151"/>
      <c r="AD2" s="151"/>
      <c r="AE2" s="151"/>
      <c r="AF2" s="151"/>
      <c r="AG2" s="151"/>
    </row>
    <row r="3" spans="1:34" ht="15" customHeight="1">
      <c r="A3" s="36"/>
      <c r="B3" s="37"/>
      <c r="C3" s="38"/>
      <c r="D3" s="31"/>
      <c r="E3" s="31"/>
      <c r="F3" s="32"/>
      <c r="G3" s="3"/>
      <c r="H3" s="3"/>
      <c r="I3" s="33"/>
      <c r="J3" s="32"/>
      <c r="K3" s="32"/>
      <c r="L3" s="32"/>
      <c r="M3" s="39"/>
      <c r="N3" s="3"/>
      <c r="O3" s="33"/>
      <c r="P3" s="32"/>
      <c r="Q3" s="32"/>
      <c r="R3" s="32"/>
      <c r="S3" s="3"/>
      <c r="T3" s="33"/>
      <c r="U3" s="32"/>
      <c r="V3" s="1"/>
      <c r="W3" s="1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5"/>
    </row>
    <row r="4" spans="1:34" ht="15" customHeight="1">
      <c r="A4" s="36"/>
      <c r="B4" s="37"/>
      <c r="C4" s="38"/>
      <c r="D4" s="31"/>
      <c r="E4" s="31"/>
      <c r="F4" s="32"/>
      <c r="G4" s="3"/>
      <c r="H4" s="3"/>
      <c r="I4" s="33"/>
      <c r="J4" s="32"/>
      <c r="K4" s="32"/>
      <c r="L4" s="32"/>
      <c r="M4" s="39"/>
      <c r="N4" s="3"/>
      <c r="O4" s="33"/>
      <c r="P4" s="32"/>
      <c r="Q4" s="32"/>
      <c r="R4" s="32"/>
      <c r="S4" s="3"/>
      <c r="T4" s="33"/>
      <c r="U4" s="32"/>
      <c r="V4" s="1"/>
      <c r="W4" s="1"/>
      <c r="X4" s="26" t="s">
        <v>55</v>
      </c>
      <c r="Y4" s="27"/>
      <c r="Z4" s="27"/>
      <c r="AB4" s="21" t="s">
        <v>121</v>
      </c>
      <c r="AC4" s="22"/>
      <c r="AD4" s="22"/>
      <c r="AE4" s="22" t="s">
        <v>122</v>
      </c>
      <c r="AF4" s="17">
        <v>6.62</v>
      </c>
      <c r="AG4" s="22"/>
      <c r="AH4" s="25"/>
    </row>
    <row r="5" spans="1:38" ht="24.75" customHeight="1">
      <c r="A5" s="36"/>
      <c r="B5" s="37"/>
      <c r="C5" s="38"/>
      <c r="D5" s="31"/>
      <c r="E5" s="31"/>
      <c r="F5" s="32"/>
      <c r="G5" s="3"/>
      <c r="H5" s="3"/>
      <c r="I5" s="33"/>
      <c r="J5" s="32"/>
      <c r="K5" s="32"/>
      <c r="L5" s="32"/>
      <c r="M5" s="39"/>
      <c r="N5" s="3"/>
      <c r="O5" s="33"/>
      <c r="P5" s="32"/>
      <c r="Q5" s="32"/>
      <c r="R5" s="32"/>
      <c r="S5" s="3"/>
      <c r="T5" s="33"/>
      <c r="U5" s="32"/>
      <c r="V5" s="1"/>
      <c r="W5" s="1"/>
      <c r="X5" s="138" t="s">
        <v>56</v>
      </c>
      <c r="Y5" s="27"/>
      <c r="Z5" s="139"/>
      <c r="AA5" s="21"/>
      <c r="AB5" s="22"/>
      <c r="AC5" s="22"/>
      <c r="AD5" s="22"/>
      <c r="AE5" s="22" t="s">
        <v>120</v>
      </c>
      <c r="AF5" s="17">
        <v>4.17</v>
      </c>
      <c r="AG5" s="22"/>
      <c r="AH5" s="25"/>
      <c r="AL5" s="27"/>
    </row>
    <row r="6" spans="1:34" ht="15" customHeight="1">
      <c r="A6" s="36"/>
      <c r="B6" s="37"/>
      <c r="C6" s="38"/>
      <c r="D6" s="31"/>
      <c r="E6" s="31"/>
      <c r="F6" s="32"/>
      <c r="G6" s="3"/>
      <c r="H6" s="3"/>
      <c r="I6" s="33"/>
      <c r="J6" s="32"/>
      <c r="K6" s="32"/>
      <c r="L6" s="32"/>
      <c r="M6" s="39"/>
      <c r="N6" s="3"/>
      <c r="O6" s="33"/>
      <c r="P6" s="32"/>
      <c r="Q6" s="32"/>
      <c r="R6" s="32"/>
      <c r="S6" s="3"/>
      <c r="T6" s="33"/>
      <c r="U6" s="32"/>
      <c r="V6" s="1"/>
      <c r="W6" s="1"/>
      <c r="X6" s="26" t="s">
        <v>57</v>
      </c>
      <c r="Y6" s="27"/>
      <c r="Z6" s="27"/>
      <c r="AA6" s="21"/>
      <c r="AB6" s="22"/>
      <c r="AC6" s="22"/>
      <c r="AD6" s="22"/>
      <c r="AE6" s="22" t="s">
        <v>123</v>
      </c>
      <c r="AF6" s="17">
        <v>5.52</v>
      </c>
      <c r="AG6" s="22"/>
      <c r="AH6" s="25"/>
    </row>
    <row r="7" spans="1:34" ht="15">
      <c r="A7" s="36"/>
      <c r="B7" s="40"/>
      <c r="C7" s="38"/>
      <c r="D7" s="3"/>
      <c r="E7" s="2"/>
      <c r="F7" s="32"/>
      <c r="G7" s="3"/>
      <c r="H7" s="3"/>
      <c r="I7" s="33"/>
      <c r="J7" s="32"/>
      <c r="K7" s="32"/>
      <c r="L7" s="32"/>
      <c r="M7" s="39"/>
      <c r="N7" s="3"/>
      <c r="O7" s="33"/>
      <c r="P7" s="32"/>
      <c r="Q7" s="32"/>
      <c r="R7" s="32"/>
      <c r="S7" s="3"/>
      <c r="T7" s="33"/>
      <c r="U7" s="32"/>
      <c r="V7" s="1"/>
      <c r="W7" s="1"/>
      <c r="X7" s="18"/>
      <c r="Y7" s="18"/>
      <c r="Z7" s="18"/>
      <c r="AA7" s="18"/>
      <c r="AB7" s="18"/>
      <c r="AC7" s="18"/>
      <c r="AD7" s="18"/>
      <c r="AE7" s="28"/>
      <c r="AF7" s="28"/>
      <c r="AG7" s="24"/>
      <c r="AH7" s="25"/>
    </row>
    <row r="8" spans="1:33" ht="15">
      <c r="A8" s="36"/>
      <c r="B8" s="40"/>
      <c r="C8" s="38"/>
      <c r="D8" s="3"/>
      <c r="E8" s="2"/>
      <c r="F8" s="32"/>
      <c r="G8" s="3"/>
      <c r="H8" s="3"/>
      <c r="I8" s="33"/>
      <c r="J8" s="32"/>
      <c r="K8" s="32"/>
      <c r="L8" s="32"/>
      <c r="M8" s="39"/>
      <c r="N8" s="3"/>
      <c r="O8" s="33"/>
      <c r="P8" s="32"/>
      <c r="Q8" s="32"/>
      <c r="R8" s="32"/>
      <c r="S8" s="3"/>
      <c r="T8" s="33"/>
      <c r="U8" s="32"/>
      <c r="V8" s="1"/>
      <c r="W8" s="1"/>
      <c r="X8" s="160" t="s">
        <v>72</v>
      </c>
      <c r="Y8" s="160"/>
      <c r="Z8" s="160"/>
      <c r="AA8" s="19">
        <v>0</v>
      </c>
      <c r="AB8" s="10" t="s">
        <v>18</v>
      </c>
      <c r="AC8" s="10"/>
      <c r="AD8" s="10"/>
      <c r="AE8" s="11"/>
      <c r="AF8" s="11"/>
      <c r="AG8" s="9"/>
    </row>
    <row r="9" spans="1:33" ht="15">
      <c r="A9" s="36"/>
      <c r="B9" s="40"/>
      <c r="C9" s="38"/>
      <c r="D9" s="3"/>
      <c r="E9" s="2"/>
      <c r="F9" s="32"/>
      <c r="G9" s="3"/>
      <c r="H9" s="3"/>
      <c r="I9" s="33"/>
      <c r="J9" s="32"/>
      <c r="K9" s="32"/>
      <c r="L9" s="32"/>
      <c r="M9" s="39"/>
      <c r="N9" s="3"/>
      <c r="O9" s="33"/>
      <c r="P9" s="32"/>
      <c r="Q9" s="32"/>
      <c r="R9" s="32"/>
      <c r="S9" s="3"/>
      <c r="T9" s="33"/>
      <c r="U9" s="32"/>
      <c r="V9" s="1"/>
      <c r="W9" s="1"/>
      <c r="X9" s="159" t="s">
        <v>73</v>
      </c>
      <c r="Y9" s="165"/>
      <c r="Z9" s="165"/>
      <c r="AA9" s="19">
        <v>0</v>
      </c>
      <c r="AB9" s="10" t="s">
        <v>18</v>
      </c>
      <c r="AC9" s="10"/>
      <c r="AD9" s="10"/>
      <c r="AE9" s="11"/>
      <c r="AF9" s="11"/>
      <c r="AG9" s="9"/>
    </row>
    <row r="10" spans="1:33" ht="15" outlineLevel="1">
      <c r="A10" s="36"/>
      <c r="B10" s="40"/>
      <c r="C10" s="38"/>
      <c r="D10" s="3"/>
      <c r="E10" s="2"/>
      <c r="F10" s="32"/>
      <c r="G10" s="3"/>
      <c r="H10" s="3"/>
      <c r="I10" s="33"/>
      <c r="J10" s="32"/>
      <c r="K10" s="32"/>
      <c r="L10" s="32"/>
      <c r="M10" s="39"/>
      <c r="N10" s="3"/>
      <c r="O10" s="33"/>
      <c r="P10" s="32"/>
      <c r="Q10" s="32"/>
      <c r="R10" s="32"/>
      <c r="S10" s="3"/>
      <c r="T10" s="33"/>
      <c r="U10" s="32"/>
      <c r="V10" s="1"/>
      <c r="W10" s="1"/>
      <c r="X10" s="160" t="s">
        <v>73</v>
      </c>
      <c r="Y10" s="160"/>
      <c r="Z10" s="160"/>
      <c r="AA10" s="19">
        <v>0</v>
      </c>
      <c r="AB10" s="10" t="s">
        <v>18</v>
      </c>
      <c r="AC10" s="10"/>
      <c r="AD10" s="10"/>
      <c r="AE10" s="11"/>
      <c r="AF10" s="11"/>
      <c r="AG10" s="9"/>
    </row>
    <row r="11" spans="1:33" ht="15">
      <c r="A11" s="36"/>
      <c r="B11" s="40"/>
      <c r="C11" s="38"/>
      <c r="D11" s="3"/>
      <c r="E11" s="2"/>
      <c r="F11" s="32"/>
      <c r="G11" s="3"/>
      <c r="H11" s="3"/>
      <c r="I11" s="33"/>
      <c r="J11" s="32"/>
      <c r="K11" s="32"/>
      <c r="L11" s="32"/>
      <c r="M11" s="39"/>
      <c r="N11" s="3"/>
      <c r="O11" s="33"/>
      <c r="P11" s="32"/>
      <c r="Q11" s="32"/>
      <c r="R11" s="32"/>
      <c r="S11" s="3"/>
      <c r="T11" s="33"/>
      <c r="U11" s="32"/>
      <c r="V11" s="1"/>
      <c r="W11" s="1"/>
      <c r="X11" s="160" t="s">
        <v>74</v>
      </c>
      <c r="Y11" s="154"/>
      <c r="Z11" s="154"/>
      <c r="AA11" s="19">
        <v>0</v>
      </c>
      <c r="AB11" s="10" t="s">
        <v>18</v>
      </c>
      <c r="AC11" s="10"/>
      <c r="AD11" s="10"/>
      <c r="AE11" s="11"/>
      <c r="AF11" s="11"/>
      <c r="AG11" s="9"/>
    </row>
    <row r="12" spans="1:33" ht="15">
      <c r="A12" s="36"/>
      <c r="B12" s="40"/>
      <c r="C12" s="38"/>
      <c r="D12" s="3"/>
      <c r="E12" s="2"/>
      <c r="F12" s="32"/>
      <c r="G12" s="3"/>
      <c r="H12" s="3"/>
      <c r="I12" s="33"/>
      <c r="J12" s="32"/>
      <c r="K12" s="32"/>
      <c r="L12" s="32"/>
      <c r="M12" s="39"/>
      <c r="N12" s="3"/>
      <c r="O12" s="33"/>
      <c r="P12" s="32"/>
      <c r="Q12" s="32"/>
      <c r="R12" s="32"/>
      <c r="S12" s="3"/>
      <c r="T12" s="33"/>
      <c r="U12" s="32"/>
      <c r="V12" s="1"/>
      <c r="W12" s="1"/>
      <c r="X12" s="159" t="s">
        <v>75</v>
      </c>
      <c r="Y12" s="159"/>
      <c r="Z12" s="159"/>
      <c r="AA12" s="19">
        <v>0</v>
      </c>
      <c r="AB12" s="10" t="s">
        <v>18</v>
      </c>
      <c r="AC12" s="10"/>
      <c r="AD12" s="10"/>
      <c r="AE12" s="11"/>
      <c r="AF12" s="11"/>
      <c r="AG12" s="9"/>
    </row>
    <row r="13" spans="1:33" ht="15">
      <c r="A13" s="36"/>
      <c r="B13" s="40"/>
      <c r="C13" s="38"/>
      <c r="D13" s="3"/>
      <c r="E13" s="2"/>
      <c r="F13" s="32"/>
      <c r="G13" s="3"/>
      <c r="H13" s="3"/>
      <c r="I13" s="33"/>
      <c r="J13" s="32"/>
      <c r="K13" s="32"/>
      <c r="L13" s="32"/>
      <c r="M13" s="39"/>
      <c r="N13" s="3"/>
      <c r="O13" s="33"/>
      <c r="P13" s="32"/>
      <c r="Q13" s="32"/>
      <c r="R13" s="32"/>
      <c r="S13" s="3"/>
      <c r="T13" s="33"/>
      <c r="U13" s="32"/>
      <c r="V13" s="1"/>
      <c r="W13" s="1"/>
      <c r="X13" s="159" t="s">
        <v>75</v>
      </c>
      <c r="Y13" s="159"/>
      <c r="Z13" s="159"/>
      <c r="AA13" s="19">
        <v>0</v>
      </c>
      <c r="AB13" s="10" t="s">
        <v>18</v>
      </c>
      <c r="AC13" s="10"/>
      <c r="AD13" s="10"/>
      <c r="AE13" s="11"/>
      <c r="AF13" s="11"/>
      <c r="AG13" s="9"/>
    </row>
    <row r="14" spans="1:33" ht="15">
      <c r="A14" s="36"/>
      <c r="B14" s="40"/>
      <c r="C14" s="38"/>
      <c r="D14" s="3"/>
      <c r="E14" s="2"/>
      <c r="F14" s="32"/>
      <c r="G14" s="3"/>
      <c r="H14" s="3"/>
      <c r="I14" s="33"/>
      <c r="J14" s="32"/>
      <c r="K14" s="32"/>
      <c r="L14" s="32"/>
      <c r="M14" s="39"/>
      <c r="N14" s="3"/>
      <c r="O14" s="33"/>
      <c r="P14" s="32"/>
      <c r="Q14" s="32"/>
      <c r="R14" s="32"/>
      <c r="S14" s="3"/>
      <c r="T14" s="33"/>
      <c r="U14" s="32"/>
      <c r="V14" s="1"/>
      <c r="W14" s="1"/>
      <c r="X14" s="160" t="s">
        <v>19</v>
      </c>
      <c r="Y14" s="160"/>
      <c r="Z14" s="160"/>
      <c r="AA14" s="19">
        <v>0</v>
      </c>
      <c r="AB14" s="10" t="s">
        <v>20</v>
      </c>
      <c r="AC14" s="10"/>
      <c r="AD14" s="10"/>
      <c r="AE14" s="11"/>
      <c r="AF14" s="11"/>
      <c r="AG14" s="9"/>
    </row>
    <row r="15" spans="1:33" ht="15">
      <c r="A15" s="36"/>
      <c r="B15" s="40"/>
      <c r="C15" s="38"/>
      <c r="D15" s="3"/>
      <c r="E15" s="2"/>
      <c r="F15" s="32"/>
      <c r="G15" s="3"/>
      <c r="H15" s="3"/>
      <c r="I15" s="33"/>
      <c r="J15" s="32"/>
      <c r="K15" s="32"/>
      <c r="L15" s="32"/>
      <c r="M15" s="3"/>
      <c r="N15" s="3"/>
      <c r="O15" s="33"/>
      <c r="P15" s="32"/>
      <c r="Q15" s="32"/>
      <c r="R15" s="32"/>
      <c r="S15" s="3"/>
      <c r="T15" s="33"/>
      <c r="U15" s="32"/>
      <c r="V15" s="1"/>
      <c r="W15" s="1"/>
      <c r="X15" s="159" t="s">
        <v>71</v>
      </c>
      <c r="Y15" s="159"/>
      <c r="Z15" s="159"/>
      <c r="AA15" s="19">
        <v>0</v>
      </c>
      <c r="AB15" s="12" t="s">
        <v>20</v>
      </c>
      <c r="AC15" s="10"/>
      <c r="AD15" s="10"/>
      <c r="AE15" s="11"/>
      <c r="AF15" s="11"/>
      <c r="AG15" s="9"/>
    </row>
    <row r="16" spans="1:33" ht="31.5" customHeight="1">
      <c r="A16" s="36"/>
      <c r="B16" s="40"/>
      <c r="C16" s="38"/>
      <c r="D16" s="3"/>
      <c r="E16" s="2"/>
      <c r="F16" s="32"/>
      <c r="G16" s="3"/>
      <c r="H16" s="3"/>
      <c r="I16" s="33"/>
      <c r="J16" s="32"/>
      <c r="K16" s="32"/>
      <c r="L16" s="32"/>
      <c r="M16" s="3"/>
      <c r="N16" s="3"/>
      <c r="O16" s="33"/>
      <c r="P16" s="32"/>
      <c r="Q16" s="32"/>
      <c r="R16" s="32"/>
      <c r="S16" s="3"/>
      <c r="T16" s="33"/>
      <c r="U16" s="32"/>
      <c r="V16" s="1"/>
      <c r="W16" s="1"/>
      <c r="X16" s="161" t="s">
        <v>124</v>
      </c>
      <c r="Y16" s="161"/>
      <c r="Z16" s="161"/>
      <c r="AA16" s="17"/>
      <c r="AB16" s="10"/>
      <c r="AC16" s="10"/>
      <c r="AD16" s="161" t="s">
        <v>290</v>
      </c>
      <c r="AE16" s="166"/>
      <c r="AF16" s="166"/>
      <c r="AG16" s="166"/>
    </row>
    <row r="17" spans="1:33" ht="15">
      <c r="A17" s="36"/>
      <c r="B17" s="40"/>
      <c r="C17" s="38"/>
      <c r="D17" s="3"/>
      <c r="E17" s="2"/>
      <c r="F17" s="32"/>
      <c r="G17" s="3"/>
      <c r="H17" s="3"/>
      <c r="I17" s="33"/>
      <c r="J17" s="32"/>
      <c r="K17" s="32"/>
      <c r="L17" s="32"/>
      <c r="M17" s="3"/>
      <c r="N17" s="3"/>
      <c r="O17" s="33"/>
      <c r="P17" s="32"/>
      <c r="Q17" s="32"/>
      <c r="R17" s="32"/>
      <c r="S17" s="3"/>
      <c r="T17" s="33"/>
      <c r="U17" s="32"/>
      <c r="V17" s="1"/>
      <c r="W17" s="1"/>
      <c r="X17" s="10"/>
      <c r="Y17" s="10"/>
      <c r="Z17" s="10" t="s">
        <v>24</v>
      </c>
      <c r="AA17" s="10"/>
      <c r="AB17" s="10"/>
      <c r="AC17" s="10"/>
      <c r="AD17" s="10"/>
      <c r="AE17" s="8"/>
      <c r="AF17" s="11"/>
      <c r="AG17" s="9"/>
    </row>
    <row r="18" spans="1:36" ht="15">
      <c r="A18" s="36"/>
      <c r="B18" s="40"/>
      <c r="C18" s="38"/>
      <c r="D18" s="3"/>
      <c r="E18" s="2"/>
      <c r="F18" s="32"/>
      <c r="G18" s="32"/>
      <c r="H18" s="32"/>
      <c r="I18" s="32"/>
      <c r="J18" s="32"/>
      <c r="K18" s="32"/>
      <c r="L18" s="32"/>
      <c r="M18" s="3"/>
      <c r="N18" s="3"/>
      <c r="O18" s="33"/>
      <c r="P18" s="32"/>
      <c r="Q18" s="32"/>
      <c r="R18" s="32"/>
      <c r="S18" s="3"/>
      <c r="T18" s="33"/>
      <c r="U18" s="32"/>
      <c r="V18" s="1"/>
      <c r="W18" s="1"/>
      <c r="X18" s="13" t="s">
        <v>58</v>
      </c>
      <c r="Y18" s="18" t="s">
        <v>64</v>
      </c>
      <c r="Z18" s="131" t="s">
        <v>24</v>
      </c>
      <c r="AA18" s="8">
        <f>IF(Z18=A67,0,VLOOKUP(Z18,A66:C70,3,0))</f>
        <v>0</v>
      </c>
      <c r="AB18" s="10" t="s">
        <v>48</v>
      </c>
      <c r="AC18" s="10"/>
      <c r="AD18" s="10"/>
      <c r="AE18" s="8">
        <f>IF(AA18=466.1,466.1,AA18*(AA14-AA15))</f>
        <v>0</v>
      </c>
      <c r="AF18" s="11" t="s">
        <v>50</v>
      </c>
      <c r="AG18" s="9"/>
      <c r="AJ18" s="16"/>
    </row>
    <row r="19" spans="1:36" ht="15">
      <c r="A19" s="2"/>
      <c r="B19" s="2"/>
      <c r="C19" s="2"/>
      <c r="D19" s="2"/>
      <c r="E19" s="2"/>
      <c r="F19" s="32"/>
      <c r="G19" s="32"/>
      <c r="H19" s="32"/>
      <c r="I19" s="32"/>
      <c r="J19" s="32"/>
      <c r="K19" s="32"/>
      <c r="L19" s="32"/>
      <c r="M19" s="3"/>
      <c r="N19" s="3"/>
      <c r="O19" s="33"/>
      <c r="P19" s="32"/>
      <c r="Q19" s="32"/>
      <c r="R19" s="32"/>
      <c r="S19" s="3"/>
      <c r="T19" s="33"/>
      <c r="U19" s="32"/>
      <c r="V19" s="1"/>
      <c r="W19" s="1"/>
      <c r="X19" s="10"/>
      <c r="Y19" s="18" t="s">
        <v>65</v>
      </c>
      <c r="Z19" s="131" t="s">
        <v>24</v>
      </c>
      <c r="AA19" s="8">
        <f>IF(Z19=A61,0,VLOOKUP(Z19,A61:C65,3,0))</f>
        <v>0</v>
      </c>
      <c r="AB19" s="10" t="s">
        <v>17</v>
      </c>
      <c r="AC19" s="10"/>
      <c r="AD19" s="10"/>
      <c r="AE19" s="8">
        <f>IF(AA19=466.1,466.1,AA19*(AA14-AA15))</f>
        <v>0</v>
      </c>
      <c r="AF19" s="11" t="s">
        <v>50</v>
      </c>
      <c r="AG19" s="9"/>
      <c r="AJ19" s="73"/>
    </row>
    <row r="20" spans="1:36" ht="15">
      <c r="A20" s="2"/>
      <c r="B20" s="2"/>
      <c r="C20" s="2"/>
      <c r="D20" s="2"/>
      <c r="E20" s="2"/>
      <c r="F20" s="32"/>
      <c r="G20" s="32"/>
      <c r="H20" s="32"/>
      <c r="I20" s="32"/>
      <c r="J20" s="32"/>
      <c r="K20" s="32"/>
      <c r="L20" s="32"/>
      <c r="M20" s="3"/>
      <c r="N20" s="3"/>
      <c r="O20" s="33"/>
      <c r="P20" s="32"/>
      <c r="Q20" s="32"/>
      <c r="R20" s="32"/>
      <c r="S20" s="3"/>
      <c r="T20" s="33"/>
      <c r="U20" s="32"/>
      <c r="V20" s="1"/>
      <c r="W20" s="1"/>
      <c r="X20" s="29" t="s">
        <v>59</v>
      </c>
      <c r="Y20" s="18" t="s">
        <v>66</v>
      </c>
      <c r="Z20" s="131" t="s">
        <v>24</v>
      </c>
      <c r="AA20" s="8">
        <f>VLOOKUP(Z20,F85:I100,4,0)</f>
        <v>0</v>
      </c>
      <c r="AB20" s="10" t="s">
        <v>49</v>
      </c>
      <c r="AC20" s="10"/>
      <c r="AD20" s="10"/>
      <c r="AE20" s="8">
        <f>AA20*AA8*AF5</f>
        <v>0</v>
      </c>
      <c r="AF20" s="11" t="s">
        <v>50</v>
      </c>
      <c r="AG20" s="9"/>
      <c r="AJ20" s="73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2"/>
      <c r="M21" s="3"/>
      <c r="N21" s="3"/>
      <c r="O21" s="33"/>
      <c r="P21" s="2"/>
      <c r="Q21" s="2"/>
      <c r="R21" s="32"/>
      <c r="S21" s="3"/>
      <c r="T21" s="33"/>
      <c r="U21" s="2"/>
      <c r="X21" s="10"/>
      <c r="Y21" s="26" t="s">
        <v>67</v>
      </c>
      <c r="Z21" s="131" t="s">
        <v>24</v>
      </c>
      <c r="AA21" s="8">
        <f>VLOOKUP(Z21,F61:I84,4,0)</f>
        <v>0</v>
      </c>
      <c r="AB21" s="10" t="s">
        <v>49</v>
      </c>
      <c r="AC21" s="10"/>
      <c r="AD21" s="10"/>
      <c r="AE21" s="61">
        <f>AA21*AA11*AF5</f>
        <v>0</v>
      </c>
      <c r="AF21" s="10" t="s">
        <v>50</v>
      </c>
      <c r="AG21" s="14"/>
      <c r="AJ21" s="73"/>
    </row>
    <row r="22" spans="1:3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2"/>
      <c r="M22" s="3"/>
      <c r="N22" s="3"/>
      <c r="O22" s="33"/>
      <c r="P22" s="2"/>
      <c r="Q22" s="2"/>
      <c r="R22" s="32"/>
      <c r="S22" s="3"/>
      <c r="T22" s="33"/>
      <c r="U22" s="2"/>
      <c r="X22" s="10" t="s">
        <v>60</v>
      </c>
      <c r="Y22" s="18" t="s">
        <v>68</v>
      </c>
      <c r="Z22" s="131" t="s">
        <v>24</v>
      </c>
      <c r="AA22" s="8">
        <f>VLOOKUP(Z22,L96:O140,4,0)</f>
        <v>0</v>
      </c>
      <c r="AB22" s="10" t="s">
        <v>49</v>
      </c>
      <c r="AC22" s="10"/>
      <c r="AD22" s="10"/>
      <c r="AE22" s="8">
        <f>AA22*AA9*AF6</f>
        <v>0</v>
      </c>
      <c r="AF22" s="10" t="s">
        <v>50</v>
      </c>
      <c r="AG22" s="14"/>
      <c r="AJ22" s="73"/>
    </row>
    <row r="23" spans="1:36" ht="15" outlineLevel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2"/>
      <c r="M23" s="3"/>
      <c r="N23" s="3"/>
      <c r="O23" s="33"/>
      <c r="P23" s="2"/>
      <c r="Q23" s="2"/>
      <c r="R23" s="32"/>
      <c r="S23" s="3"/>
      <c r="T23" s="33"/>
      <c r="U23" s="2"/>
      <c r="X23" s="10"/>
      <c r="Y23" s="18" t="s">
        <v>68</v>
      </c>
      <c r="Z23" s="131" t="s">
        <v>24</v>
      </c>
      <c r="AA23" s="8">
        <f>VLOOKUP(Z23,L96:O140,4,0)</f>
        <v>0</v>
      </c>
      <c r="AB23" s="10" t="s">
        <v>49</v>
      </c>
      <c r="AC23" s="10"/>
      <c r="AD23" s="10"/>
      <c r="AE23" s="8">
        <f>AF6*AA10*AA23</f>
        <v>0</v>
      </c>
      <c r="AF23" s="10" t="s">
        <v>50</v>
      </c>
      <c r="AG23" s="14"/>
      <c r="AJ23" s="73"/>
    </row>
    <row r="24" spans="1:3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2"/>
      <c r="M24" s="3"/>
      <c r="N24" s="3"/>
      <c r="O24" s="33"/>
      <c r="P24" s="2"/>
      <c r="Q24" s="2"/>
      <c r="R24" s="32"/>
      <c r="S24" s="2"/>
      <c r="T24" s="2"/>
      <c r="U24" s="2"/>
      <c r="X24" s="10"/>
      <c r="Y24" s="26" t="s">
        <v>69</v>
      </c>
      <c r="Z24" s="131" t="s">
        <v>24</v>
      </c>
      <c r="AA24" s="8">
        <f>VLOOKUP(Z24,L61:O95,4,0)</f>
        <v>0</v>
      </c>
      <c r="AB24" s="10" t="s">
        <v>49</v>
      </c>
      <c r="AC24" s="10"/>
      <c r="AD24" s="10"/>
      <c r="AE24" s="8">
        <f>AA24*AA12*AF6</f>
        <v>0</v>
      </c>
      <c r="AF24" s="15" t="s">
        <v>50</v>
      </c>
      <c r="AG24" s="14"/>
      <c r="AJ24" s="73"/>
    </row>
    <row r="25" spans="1:3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2"/>
      <c r="M25" s="3"/>
      <c r="N25" s="3"/>
      <c r="O25" s="33"/>
      <c r="P25" s="2"/>
      <c r="Q25" s="2"/>
      <c r="R25" s="32"/>
      <c r="S25" s="2"/>
      <c r="T25" s="2"/>
      <c r="U25" s="2"/>
      <c r="X25" s="10"/>
      <c r="Y25" s="26" t="s">
        <v>69</v>
      </c>
      <c r="Z25" s="131" t="s">
        <v>24</v>
      </c>
      <c r="AA25" s="8">
        <f>VLOOKUP(Z25,L61:O95,4,0)</f>
        <v>0</v>
      </c>
      <c r="AB25" s="10" t="s">
        <v>49</v>
      </c>
      <c r="AC25" s="10"/>
      <c r="AD25" s="10"/>
      <c r="AE25" s="8">
        <f>AA25*AA13*AF6</f>
        <v>0</v>
      </c>
      <c r="AF25" s="15" t="s">
        <v>50</v>
      </c>
      <c r="AG25" s="14"/>
      <c r="AJ25" s="73"/>
    </row>
    <row r="26" spans="1:33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32"/>
      <c r="M26" s="3"/>
      <c r="N26" s="3"/>
      <c r="O26" s="33"/>
      <c r="P26" s="2"/>
      <c r="Q26" s="2"/>
      <c r="R26" s="2"/>
      <c r="S26" s="2"/>
      <c r="T26" s="2"/>
      <c r="U26" s="2"/>
      <c r="X26" s="29" t="s">
        <v>61</v>
      </c>
      <c r="Y26" s="30" t="s">
        <v>70</v>
      </c>
      <c r="Z26" s="131" t="s">
        <v>24</v>
      </c>
      <c r="AA26" s="8">
        <f>VLOOKUP(Z26,R61:T101,3,0)</f>
        <v>0</v>
      </c>
      <c r="AB26" s="10" t="s">
        <v>17</v>
      </c>
      <c r="AC26" s="10"/>
      <c r="AD26" s="10"/>
      <c r="AE26" s="8">
        <f>AA26*(AA14-AA15)*AF4</f>
        <v>0</v>
      </c>
      <c r="AF26" s="10" t="s">
        <v>50</v>
      </c>
      <c r="AG26" s="14"/>
    </row>
    <row r="27" spans="1:33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2"/>
      <c r="M27" s="3"/>
      <c r="N27" s="3"/>
      <c r="O27" s="33"/>
      <c r="P27" s="2"/>
      <c r="Q27" s="2"/>
      <c r="R27" s="2"/>
      <c r="S27" s="2"/>
      <c r="T27" s="2"/>
      <c r="U27" s="2"/>
      <c r="X27" s="10"/>
      <c r="Y27" s="10"/>
      <c r="Z27" s="5"/>
      <c r="AA27" s="10"/>
      <c r="AB27" s="10"/>
      <c r="AC27" s="10"/>
      <c r="AD27" s="10"/>
      <c r="AE27" s="8"/>
      <c r="AF27" s="10"/>
      <c r="AG27" s="14"/>
    </row>
    <row r="28" spans="1:3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X28" s="10"/>
      <c r="Y28" s="10"/>
      <c r="Z28" s="7" t="s">
        <v>21</v>
      </c>
      <c r="AA28" s="16">
        <f>SUM(AE18:AE26)</f>
        <v>0</v>
      </c>
      <c r="AB28" s="10" t="s">
        <v>23</v>
      </c>
      <c r="AC28" s="10"/>
      <c r="AD28" s="10"/>
      <c r="AE28" s="10"/>
      <c r="AF28" s="10"/>
      <c r="AG28" s="14"/>
    </row>
    <row r="29" spans="24:33" ht="15">
      <c r="X29" s="10"/>
      <c r="Y29" s="10"/>
      <c r="Z29" s="7"/>
      <c r="AA29" s="16">
        <f>AA30-AA28</f>
        <v>0</v>
      </c>
      <c r="AB29" s="10" t="s">
        <v>25</v>
      </c>
      <c r="AC29" s="10"/>
      <c r="AD29" s="10"/>
      <c r="AE29" s="10"/>
      <c r="AF29" s="10"/>
      <c r="AG29" s="14"/>
    </row>
    <row r="30" spans="24:33" ht="15">
      <c r="X30" s="10"/>
      <c r="Y30" s="10"/>
      <c r="Z30" s="7"/>
      <c r="AA30" s="16">
        <f>ROUND(AA28*1.18,2)</f>
        <v>0</v>
      </c>
      <c r="AB30" s="10" t="s">
        <v>22</v>
      </c>
      <c r="AC30" s="10"/>
      <c r="AD30" s="10"/>
      <c r="AE30" s="10"/>
      <c r="AF30" s="10"/>
      <c r="AG30" s="14"/>
    </row>
    <row r="31" spans="24:33" ht="15">
      <c r="X31" s="14"/>
      <c r="Y31" s="14"/>
      <c r="Z31" s="6"/>
      <c r="AA31" s="14"/>
      <c r="AB31" s="14"/>
      <c r="AC31" s="14"/>
      <c r="AD31" s="14"/>
      <c r="AE31" s="14"/>
      <c r="AF31" s="14"/>
      <c r="AG31" s="14"/>
    </row>
    <row r="32" spans="24:33" ht="15"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4:33" ht="15"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4:33" ht="15">
      <c r="X34" s="20"/>
      <c r="Y34" s="158" t="s">
        <v>53</v>
      </c>
      <c r="Z34" s="158"/>
      <c r="AA34" s="158"/>
      <c r="AB34" s="20"/>
      <c r="AC34" s="20"/>
      <c r="AD34" s="20"/>
      <c r="AE34" s="156" t="s">
        <v>52</v>
      </c>
      <c r="AF34" s="156"/>
      <c r="AG34" s="20"/>
    </row>
    <row r="35" spans="24:33" ht="15"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4:33" ht="15">
      <c r="X36" s="20"/>
      <c r="Y36" s="158" t="s">
        <v>54</v>
      </c>
      <c r="Z36" s="158"/>
      <c r="AA36" s="158"/>
      <c r="AB36" s="20"/>
      <c r="AC36" s="20"/>
      <c r="AD36" s="156" t="s">
        <v>63</v>
      </c>
      <c r="AE36" s="154"/>
      <c r="AF36" s="154"/>
      <c r="AG36" s="20"/>
    </row>
    <row r="37" spans="24:33" ht="15">
      <c r="X37" s="20"/>
      <c r="Y37" s="68"/>
      <c r="Z37" s="68"/>
      <c r="AA37" s="68"/>
      <c r="AB37" s="20"/>
      <c r="AC37" s="20"/>
      <c r="AD37" s="20"/>
      <c r="AE37" s="67"/>
      <c r="AF37" s="67"/>
      <c r="AG37" s="20"/>
    </row>
    <row r="38" spans="24:33" ht="15">
      <c r="X38" s="155" t="s">
        <v>47</v>
      </c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24:33" ht="15">
      <c r="X39" s="155" t="s">
        <v>44</v>
      </c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24:33" ht="15">
      <c r="X40" s="155" t="s">
        <v>45</v>
      </c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24:33" ht="15">
      <c r="X41" s="155" t="s">
        <v>46</v>
      </c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24:33" ht="15">
      <c r="X42" s="155" t="s">
        <v>51</v>
      </c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24:33" ht="15"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24:33" ht="15"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8" ht="11.25" customHeight="1"/>
    <row r="49" ht="8.25" customHeight="1"/>
    <row r="50" spans="13:33" ht="12" customHeight="1">
      <c r="M50" s="92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4:33" ht="8.25" customHeight="1"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</row>
    <row r="52" spans="24:33" ht="18.75" customHeight="1">
      <c r="X52" s="150" t="s">
        <v>295</v>
      </c>
      <c r="Y52" s="151"/>
      <c r="Z52" s="151"/>
      <c r="AA52" s="151"/>
      <c r="AB52" s="151"/>
      <c r="AC52" s="151"/>
      <c r="AD52" s="151"/>
      <c r="AE52" s="151"/>
      <c r="AF52" s="151"/>
      <c r="AG52" s="151"/>
    </row>
    <row r="53" spans="24:33" ht="15.75" customHeight="1">
      <c r="X53" s="152" t="s">
        <v>296</v>
      </c>
      <c r="Y53" s="153"/>
      <c r="Z53" s="153"/>
      <c r="AA53" s="153"/>
      <c r="AB53" s="153"/>
      <c r="AC53" s="153"/>
      <c r="AD53" s="153"/>
      <c r="AE53" s="153"/>
      <c r="AF53" s="153"/>
      <c r="AG53" s="153"/>
    </row>
    <row r="54" spans="24:33" ht="10.5" customHeight="1"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</row>
    <row r="55" spans="24:33" ht="10.5" customHeight="1"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</row>
    <row r="56" spans="24:33" ht="10.5" customHeight="1"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</row>
    <row r="57" spans="24:33" ht="10.5" customHeight="1"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</row>
    <row r="58" spans="24:33" ht="15"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</row>
    <row r="59" spans="1:33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</row>
    <row r="60" spans="1:33" ht="15">
      <c r="A60" s="146" t="s">
        <v>1</v>
      </c>
      <c r="B60" s="146"/>
      <c r="C60" s="146"/>
      <c r="D60" s="147"/>
      <c r="E60" s="147"/>
      <c r="F60" s="148" t="s">
        <v>2</v>
      </c>
      <c r="G60" s="148"/>
      <c r="H60" s="148"/>
      <c r="I60" s="148"/>
      <c r="J60" s="74"/>
      <c r="K60" s="74"/>
      <c r="L60" s="148" t="s">
        <v>4</v>
      </c>
      <c r="M60" s="149"/>
      <c r="N60" s="149"/>
      <c r="O60" s="149"/>
      <c r="P60" s="74"/>
      <c r="Q60" s="74"/>
      <c r="R60" s="148" t="s">
        <v>5</v>
      </c>
      <c r="S60" s="149"/>
      <c r="T60" s="149"/>
      <c r="U60" s="74"/>
      <c r="V60" s="75"/>
      <c r="W60" s="75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</row>
    <row r="61" spans="1:33" ht="15">
      <c r="A61" s="76" t="s">
        <v>24</v>
      </c>
      <c r="B61" s="77"/>
      <c r="C61" s="77"/>
      <c r="D61" s="78"/>
      <c r="E61" s="78"/>
      <c r="F61" s="79" t="s">
        <v>24</v>
      </c>
      <c r="G61" s="79"/>
      <c r="H61" s="79"/>
      <c r="I61" s="79"/>
      <c r="J61" s="74"/>
      <c r="K61" s="74"/>
      <c r="L61" s="79" t="s">
        <v>24</v>
      </c>
      <c r="M61" s="76"/>
      <c r="N61" s="76"/>
      <c r="O61" s="76"/>
      <c r="P61" s="74"/>
      <c r="Q61" s="74"/>
      <c r="R61" s="93" t="s">
        <v>24</v>
      </c>
      <c r="S61" s="94"/>
      <c r="T61" s="94"/>
      <c r="U61" s="74"/>
      <c r="V61" s="75"/>
      <c r="W61" s="75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</row>
    <row r="62" spans="1:33" ht="15">
      <c r="A62" s="76" t="s">
        <v>26</v>
      </c>
      <c r="B62" s="80">
        <v>0.4</v>
      </c>
      <c r="C62" s="81"/>
      <c r="D62" s="110"/>
      <c r="E62" s="110"/>
      <c r="F62" s="82" t="s">
        <v>241</v>
      </c>
      <c r="G62" s="83" t="s">
        <v>3</v>
      </c>
      <c r="H62" s="83">
        <v>0.4</v>
      </c>
      <c r="I62" s="84">
        <v>124395</v>
      </c>
      <c r="J62" s="74"/>
      <c r="K62" s="74"/>
      <c r="L62" s="82" t="s">
        <v>30</v>
      </c>
      <c r="M62" s="85">
        <v>0.4</v>
      </c>
      <c r="N62" s="83" t="s">
        <v>3</v>
      </c>
      <c r="O62" s="84">
        <v>116944</v>
      </c>
      <c r="P62" s="74"/>
      <c r="Q62" s="74"/>
      <c r="R62" s="95" t="s">
        <v>6</v>
      </c>
      <c r="S62" s="96" t="s">
        <v>17</v>
      </c>
      <c r="T62" s="97">
        <v>673.6</v>
      </c>
      <c r="U62" s="74"/>
      <c r="V62" s="75"/>
      <c r="W62" s="75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</row>
    <row r="63" spans="1:33" ht="15">
      <c r="A63" s="76" t="s">
        <v>100</v>
      </c>
      <c r="B63" s="80">
        <v>0.4</v>
      </c>
      <c r="C63" s="81">
        <v>946.46</v>
      </c>
      <c r="D63" s="110"/>
      <c r="E63" s="110"/>
      <c r="F63" s="82" t="s">
        <v>242</v>
      </c>
      <c r="G63" s="83" t="s">
        <v>3</v>
      </c>
      <c r="H63" s="83">
        <v>0.4</v>
      </c>
      <c r="I63" s="84">
        <v>132099</v>
      </c>
      <c r="J63" s="74"/>
      <c r="K63" s="74"/>
      <c r="L63" s="82" t="s">
        <v>104</v>
      </c>
      <c r="M63" s="85">
        <v>0.4</v>
      </c>
      <c r="N63" s="83" t="s">
        <v>3</v>
      </c>
      <c r="O63" s="84">
        <v>152673</v>
      </c>
      <c r="P63" s="74"/>
      <c r="Q63" s="74"/>
      <c r="R63" s="95" t="s">
        <v>7</v>
      </c>
      <c r="S63" s="96" t="s">
        <v>17</v>
      </c>
      <c r="T63" s="97">
        <v>465.6</v>
      </c>
      <c r="U63" s="74"/>
      <c r="V63" s="75"/>
      <c r="W63" s="75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</row>
    <row r="64" spans="1:33" ht="15">
      <c r="A64" s="76" t="s">
        <v>101</v>
      </c>
      <c r="B64" s="80">
        <v>0.4</v>
      </c>
      <c r="C64" s="81">
        <v>40.47</v>
      </c>
      <c r="D64" s="78"/>
      <c r="E64" s="78"/>
      <c r="F64" s="82" t="s">
        <v>243</v>
      </c>
      <c r="G64" s="83" t="s">
        <v>3</v>
      </c>
      <c r="H64" s="83">
        <v>0.4</v>
      </c>
      <c r="I64" s="84">
        <v>139262</v>
      </c>
      <c r="J64" s="74"/>
      <c r="K64" s="74"/>
      <c r="L64" s="82" t="s">
        <v>31</v>
      </c>
      <c r="M64" s="85">
        <v>0.4</v>
      </c>
      <c r="N64" s="83" t="s">
        <v>3</v>
      </c>
      <c r="O64" s="84">
        <v>112362</v>
      </c>
      <c r="P64" s="74"/>
      <c r="Q64" s="74"/>
      <c r="R64" s="95" t="s">
        <v>8</v>
      </c>
      <c r="S64" s="96" t="s">
        <v>17</v>
      </c>
      <c r="T64" s="97">
        <v>439.01</v>
      </c>
      <c r="U64" s="74"/>
      <c r="V64" s="75"/>
      <c r="W64" s="75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</row>
    <row r="65" spans="1:33" ht="15">
      <c r="A65" s="76" t="s">
        <v>27</v>
      </c>
      <c r="B65" s="80">
        <v>0.4</v>
      </c>
      <c r="C65" s="81">
        <v>8.51</v>
      </c>
      <c r="D65" s="78"/>
      <c r="E65" s="78"/>
      <c r="F65" s="82" t="s">
        <v>244</v>
      </c>
      <c r="G65" s="83" t="s">
        <v>3</v>
      </c>
      <c r="H65" s="83">
        <v>0.4</v>
      </c>
      <c r="I65" s="84">
        <v>173410</v>
      </c>
      <c r="J65" s="74"/>
      <c r="K65" s="74"/>
      <c r="L65" s="82" t="s">
        <v>105</v>
      </c>
      <c r="M65" s="85">
        <v>0.4</v>
      </c>
      <c r="N65" s="83" t="s">
        <v>3</v>
      </c>
      <c r="O65" s="84">
        <v>158013</v>
      </c>
      <c r="P65" s="74"/>
      <c r="Q65" s="74"/>
      <c r="R65" s="95" t="s">
        <v>9</v>
      </c>
      <c r="S65" s="96" t="s">
        <v>17</v>
      </c>
      <c r="T65" s="97">
        <v>604.4</v>
      </c>
      <c r="U65" s="74"/>
      <c r="V65" s="75"/>
      <c r="W65" s="75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</row>
    <row r="66" spans="1:33" ht="15">
      <c r="A66" s="76" t="s">
        <v>24</v>
      </c>
      <c r="B66" s="86"/>
      <c r="C66" s="81"/>
      <c r="D66" s="78"/>
      <c r="E66" s="78"/>
      <c r="F66" s="82" t="s">
        <v>245</v>
      </c>
      <c r="G66" s="83" t="s">
        <v>3</v>
      </c>
      <c r="H66" s="83">
        <v>0.4</v>
      </c>
      <c r="I66" s="84">
        <v>181189</v>
      </c>
      <c r="J66" s="74"/>
      <c r="K66" s="74"/>
      <c r="L66" s="82" t="s">
        <v>32</v>
      </c>
      <c r="M66" s="85">
        <v>0.4</v>
      </c>
      <c r="N66" s="83" t="s">
        <v>3</v>
      </c>
      <c r="O66" s="84">
        <v>120830</v>
      </c>
      <c r="P66" s="74"/>
      <c r="Q66" s="74"/>
      <c r="R66" s="95" t="s">
        <v>10</v>
      </c>
      <c r="S66" s="96" t="s">
        <v>17</v>
      </c>
      <c r="T66" s="97">
        <v>447.3</v>
      </c>
      <c r="U66" s="74"/>
      <c r="V66" s="75"/>
      <c r="W66" s="75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</row>
    <row r="67" spans="1:33" ht="15">
      <c r="A67" s="76" t="s">
        <v>28</v>
      </c>
      <c r="B67" s="86" t="s">
        <v>0</v>
      </c>
      <c r="C67" s="81"/>
      <c r="D67" s="78"/>
      <c r="E67" s="78"/>
      <c r="F67" s="82" t="s">
        <v>246</v>
      </c>
      <c r="G67" s="83" t="s">
        <v>3</v>
      </c>
      <c r="H67" s="83">
        <v>0.4</v>
      </c>
      <c r="I67" s="84">
        <v>202833</v>
      </c>
      <c r="J67" s="74"/>
      <c r="K67" s="74"/>
      <c r="L67" s="82" t="s">
        <v>106</v>
      </c>
      <c r="M67" s="85">
        <v>0.4</v>
      </c>
      <c r="N67" s="83" t="s">
        <v>3</v>
      </c>
      <c r="O67" s="84">
        <v>174940</v>
      </c>
      <c r="P67" s="74"/>
      <c r="Q67" s="74"/>
      <c r="R67" s="95" t="s">
        <v>11</v>
      </c>
      <c r="S67" s="96" t="s">
        <v>17</v>
      </c>
      <c r="T67" s="97">
        <v>520.7</v>
      </c>
      <c r="U67" s="74"/>
      <c r="V67" s="75"/>
      <c r="W67" s="75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</row>
    <row r="68" spans="1:33" ht="15">
      <c r="A68" s="76" t="s">
        <v>102</v>
      </c>
      <c r="B68" s="86" t="s">
        <v>0</v>
      </c>
      <c r="C68" s="81">
        <v>315.34</v>
      </c>
      <c r="D68" s="87"/>
      <c r="E68" s="88"/>
      <c r="F68" s="82" t="s">
        <v>247</v>
      </c>
      <c r="G68" s="83" t="s">
        <v>3</v>
      </c>
      <c r="H68" s="83">
        <v>0.4</v>
      </c>
      <c r="I68" s="84">
        <v>227638</v>
      </c>
      <c r="J68" s="74"/>
      <c r="K68" s="74"/>
      <c r="L68" s="82" t="s">
        <v>33</v>
      </c>
      <c r="M68" s="85">
        <v>0.4</v>
      </c>
      <c r="N68" s="83" t="s">
        <v>3</v>
      </c>
      <c r="O68" s="84">
        <v>129862</v>
      </c>
      <c r="P68" s="74"/>
      <c r="Q68" s="74"/>
      <c r="R68" s="95" t="s">
        <v>12</v>
      </c>
      <c r="S68" s="96" t="s">
        <v>17</v>
      </c>
      <c r="T68" s="97">
        <v>493.3</v>
      </c>
      <c r="U68" s="74"/>
      <c r="V68" s="75"/>
      <c r="W68" s="75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</row>
    <row r="69" spans="1:33" ht="15">
      <c r="A69" s="76" t="s">
        <v>103</v>
      </c>
      <c r="B69" s="86" t="s">
        <v>0</v>
      </c>
      <c r="C69" s="81">
        <v>34.95</v>
      </c>
      <c r="D69" s="87"/>
      <c r="E69" s="88"/>
      <c r="F69" s="82" t="s">
        <v>248</v>
      </c>
      <c r="G69" s="83" t="s">
        <v>3</v>
      </c>
      <c r="H69" s="83">
        <v>0.4</v>
      </c>
      <c r="I69" s="84">
        <v>266387</v>
      </c>
      <c r="J69" s="74"/>
      <c r="K69" s="74"/>
      <c r="L69" s="82" t="s">
        <v>107</v>
      </c>
      <c r="M69" s="85">
        <v>0.4</v>
      </c>
      <c r="N69" s="83" t="s">
        <v>3</v>
      </c>
      <c r="O69" s="84">
        <v>193003</v>
      </c>
      <c r="P69" s="74"/>
      <c r="Q69" s="74"/>
      <c r="R69" s="95" t="s">
        <v>98</v>
      </c>
      <c r="S69" s="96" t="s">
        <v>17</v>
      </c>
      <c r="T69" s="97">
        <v>343.1</v>
      </c>
      <c r="U69" s="74"/>
      <c r="V69" s="75"/>
      <c r="W69" s="75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</row>
    <row r="70" spans="1:33" ht="15">
      <c r="A70" s="76" t="s">
        <v>29</v>
      </c>
      <c r="B70" s="86" t="s">
        <v>0</v>
      </c>
      <c r="C70" s="81">
        <v>12.57</v>
      </c>
      <c r="D70" s="87"/>
      <c r="E70" s="88"/>
      <c r="F70" s="82" t="s">
        <v>249</v>
      </c>
      <c r="G70" s="83" t="s">
        <v>3</v>
      </c>
      <c r="H70" s="83">
        <v>0.4</v>
      </c>
      <c r="I70" s="84">
        <v>148106</v>
      </c>
      <c r="J70" s="74"/>
      <c r="K70" s="74"/>
      <c r="L70" s="82" t="s">
        <v>34</v>
      </c>
      <c r="M70" s="85">
        <v>0.4</v>
      </c>
      <c r="N70" s="83" t="s">
        <v>3</v>
      </c>
      <c r="O70" s="84">
        <v>138814</v>
      </c>
      <c r="P70" s="74"/>
      <c r="Q70" s="74"/>
      <c r="R70" s="95" t="s">
        <v>13</v>
      </c>
      <c r="S70" s="96" t="s">
        <v>17</v>
      </c>
      <c r="T70" s="97">
        <v>1469.6</v>
      </c>
      <c r="U70" s="74"/>
      <c r="V70" s="75"/>
      <c r="W70" s="75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</row>
    <row r="71" spans="4:33" ht="15">
      <c r="D71" s="87"/>
      <c r="E71" s="88"/>
      <c r="F71" s="82" t="s">
        <v>250</v>
      </c>
      <c r="G71" s="83" t="s">
        <v>3</v>
      </c>
      <c r="H71" s="83">
        <v>0.4</v>
      </c>
      <c r="I71" s="84">
        <v>157413</v>
      </c>
      <c r="J71" s="74"/>
      <c r="K71" s="74"/>
      <c r="L71" s="82" t="s">
        <v>108</v>
      </c>
      <c r="M71" s="85">
        <v>0.4</v>
      </c>
      <c r="N71" s="83" t="s">
        <v>3</v>
      </c>
      <c r="O71" s="84">
        <v>210904</v>
      </c>
      <c r="P71" s="74"/>
      <c r="Q71" s="74"/>
      <c r="R71" s="95" t="s">
        <v>14</v>
      </c>
      <c r="S71" s="96" t="s">
        <v>17</v>
      </c>
      <c r="T71" s="97">
        <v>735.8</v>
      </c>
      <c r="U71" s="74"/>
      <c r="V71" s="75"/>
      <c r="W71" s="75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</row>
    <row r="72" spans="1:33" ht="15">
      <c r="A72" s="76"/>
      <c r="B72" s="86"/>
      <c r="C72" s="81"/>
      <c r="D72" s="87"/>
      <c r="E72" s="88"/>
      <c r="F72" s="82" t="s">
        <v>251</v>
      </c>
      <c r="G72" s="83" t="s">
        <v>3</v>
      </c>
      <c r="H72" s="83">
        <v>0.4</v>
      </c>
      <c r="I72" s="84">
        <v>171484</v>
      </c>
      <c r="J72" s="74"/>
      <c r="K72" s="74"/>
      <c r="L72" s="82" t="s">
        <v>36</v>
      </c>
      <c r="M72" s="85">
        <v>0.4</v>
      </c>
      <c r="N72" s="83" t="s">
        <v>3</v>
      </c>
      <c r="O72" s="84">
        <v>136664</v>
      </c>
      <c r="P72" s="74"/>
      <c r="Q72" s="74"/>
      <c r="R72" s="95" t="s">
        <v>15</v>
      </c>
      <c r="S72" s="96" t="s">
        <v>17</v>
      </c>
      <c r="T72" s="97">
        <v>500.3</v>
      </c>
      <c r="U72" s="74"/>
      <c r="V72" s="75"/>
      <c r="W72" s="75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</row>
    <row r="73" spans="1:33" ht="15">
      <c r="A73" s="76"/>
      <c r="B73" s="86"/>
      <c r="C73" s="81"/>
      <c r="D73" s="87"/>
      <c r="E73" s="88"/>
      <c r="F73" s="82" t="s">
        <v>252</v>
      </c>
      <c r="G73" s="83" t="s">
        <v>3</v>
      </c>
      <c r="H73" s="83">
        <v>0.4</v>
      </c>
      <c r="I73" s="84">
        <v>189268</v>
      </c>
      <c r="J73" s="74"/>
      <c r="K73" s="74"/>
      <c r="L73" s="82" t="s">
        <v>109</v>
      </c>
      <c r="M73" s="85">
        <v>0.4</v>
      </c>
      <c r="N73" s="83" t="s">
        <v>3</v>
      </c>
      <c r="O73" s="84">
        <v>206604</v>
      </c>
      <c r="P73" s="74"/>
      <c r="Q73" s="74"/>
      <c r="R73" s="95" t="s">
        <v>16</v>
      </c>
      <c r="S73" s="96" t="s">
        <v>17</v>
      </c>
      <c r="T73" s="97">
        <v>341.9</v>
      </c>
      <c r="U73" s="74"/>
      <c r="V73" s="75"/>
      <c r="W73" s="75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</row>
    <row r="74" spans="1:33" ht="15">
      <c r="A74" s="76"/>
      <c r="B74" s="86"/>
      <c r="C74" s="81"/>
      <c r="D74" s="87"/>
      <c r="E74" s="88"/>
      <c r="F74" s="82" t="s">
        <v>253</v>
      </c>
      <c r="G74" s="83" t="s">
        <v>3</v>
      </c>
      <c r="H74" s="83">
        <v>0.4</v>
      </c>
      <c r="I74" s="84">
        <v>209160</v>
      </c>
      <c r="J74" s="74"/>
      <c r="K74" s="74"/>
      <c r="L74" s="82" t="s">
        <v>35</v>
      </c>
      <c r="M74" s="85">
        <v>0.4</v>
      </c>
      <c r="N74" s="83" t="s">
        <v>3</v>
      </c>
      <c r="O74" s="84">
        <v>149702</v>
      </c>
      <c r="P74" s="74"/>
      <c r="Q74" s="74"/>
      <c r="R74" s="95" t="s">
        <v>219</v>
      </c>
      <c r="S74" s="96" t="s">
        <v>17</v>
      </c>
      <c r="T74" s="97">
        <v>1270.3</v>
      </c>
      <c r="U74" s="74"/>
      <c r="V74" s="75"/>
      <c r="W74" s="75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</row>
    <row r="75" spans="1:33" ht="15">
      <c r="A75" s="76"/>
      <c r="B75" s="86"/>
      <c r="C75" s="81"/>
      <c r="D75" s="87"/>
      <c r="E75" s="88"/>
      <c r="F75" s="82" t="s">
        <v>254</v>
      </c>
      <c r="G75" s="83" t="s">
        <v>3</v>
      </c>
      <c r="H75" s="83">
        <v>0.4</v>
      </c>
      <c r="I75" s="84">
        <v>231706</v>
      </c>
      <c r="J75" s="74"/>
      <c r="K75" s="74"/>
      <c r="L75" s="82" t="s">
        <v>110</v>
      </c>
      <c r="M75" s="85">
        <v>0.4</v>
      </c>
      <c r="N75" s="83" t="s">
        <v>3</v>
      </c>
      <c r="O75" s="84">
        <v>242976</v>
      </c>
      <c r="P75" s="74"/>
      <c r="Q75" s="74"/>
      <c r="R75" s="95" t="s">
        <v>220</v>
      </c>
      <c r="S75" s="96" t="s">
        <v>17</v>
      </c>
      <c r="T75" s="97">
        <v>953.3</v>
      </c>
      <c r="U75" s="74"/>
      <c r="V75" s="75"/>
      <c r="W75" s="75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</row>
    <row r="76" spans="1:33" ht="15">
      <c r="A76" s="126"/>
      <c r="B76" s="115"/>
      <c r="C76" s="116"/>
      <c r="D76" s="87"/>
      <c r="E76" s="88"/>
      <c r="F76" s="82" t="s">
        <v>160</v>
      </c>
      <c r="G76" s="83" t="s">
        <v>3</v>
      </c>
      <c r="H76" s="83">
        <v>0.4</v>
      </c>
      <c r="I76" s="84">
        <v>133168</v>
      </c>
      <c r="J76" s="74"/>
      <c r="K76" s="74"/>
      <c r="L76" s="82" t="s">
        <v>99</v>
      </c>
      <c r="M76" s="85">
        <v>0.4</v>
      </c>
      <c r="N76" s="83" t="s">
        <v>3</v>
      </c>
      <c r="O76" s="84">
        <v>165533</v>
      </c>
      <c r="P76" s="74"/>
      <c r="Q76" s="74"/>
      <c r="R76" s="95" t="s">
        <v>221</v>
      </c>
      <c r="S76" s="96" t="s">
        <v>17</v>
      </c>
      <c r="T76" s="97">
        <v>652.1</v>
      </c>
      <c r="U76" s="74"/>
      <c r="V76" s="75"/>
      <c r="W76" s="75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</row>
    <row r="77" spans="1:33" ht="15">
      <c r="A77" s="126"/>
      <c r="B77" s="115"/>
      <c r="C77" s="116"/>
      <c r="D77" s="87"/>
      <c r="E77" s="88"/>
      <c r="F77" s="82" t="s">
        <v>161</v>
      </c>
      <c r="G77" s="83" t="s">
        <v>3</v>
      </c>
      <c r="H77" s="83">
        <v>0.4</v>
      </c>
      <c r="I77" s="84">
        <v>147620</v>
      </c>
      <c r="J77" s="74"/>
      <c r="K77" s="74"/>
      <c r="L77" s="82" t="s">
        <v>111</v>
      </c>
      <c r="M77" s="85">
        <v>0.4</v>
      </c>
      <c r="N77" s="83" t="s">
        <v>3</v>
      </c>
      <c r="O77" s="84">
        <v>264348</v>
      </c>
      <c r="P77" s="74"/>
      <c r="Q77" s="74"/>
      <c r="R77" s="95" t="s">
        <v>222</v>
      </c>
      <c r="S77" s="96" t="s">
        <v>17</v>
      </c>
      <c r="T77" s="97">
        <v>494.3</v>
      </c>
      <c r="U77" s="74"/>
      <c r="V77" s="75"/>
      <c r="W77" s="75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</row>
    <row r="78" spans="1:33" ht="15">
      <c r="A78" s="126"/>
      <c r="B78" s="115"/>
      <c r="C78" s="116"/>
      <c r="D78" s="87"/>
      <c r="E78" s="88"/>
      <c r="F78" s="82" t="s">
        <v>255</v>
      </c>
      <c r="G78" s="83" t="s">
        <v>3</v>
      </c>
      <c r="H78" s="83">
        <v>0.4</v>
      </c>
      <c r="I78" s="84">
        <v>88950</v>
      </c>
      <c r="J78" s="74"/>
      <c r="K78" s="74"/>
      <c r="L78" s="82" t="s">
        <v>133</v>
      </c>
      <c r="M78" s="85">
        <v>0.4</v>
      </c>
      <c r="N78" s="83" t="s">
        <v>3</v>
      </c>
      <c r="O78" s="84">
        <v>206332</v>
      </c>
      <c r="P78" s="74"/>
      <c r="Q78" s="74"/>
      <c r="R78" s="95" t="s">
        <v>223</v>
      </c>
      <c r="S78" s="96" t="s">
        <v>17</v>
      </c>
      <c r="T78" s="97">
        <v>492.4</v>
      </c>
      <c r="U78" s="74"/>
      <c r="V78" s="75"/>
      <c r="W78" s="75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</row>
    <row r="79" spans="1:33" ht="15">
      <c r="A79" s="126"/>
      <c r="B79" s="115"/>
      <c r="C79" s="116"/>
      <c r="D79" s="87"/>
      <c r="E79" s="88"/>
      <c r="F79" s="82" t="s">
        <v>256</v>
      </c>
      <c r="G79" s="83" t="s">
        <v>3</v>
      </c>
      <c r="H79" s="83">
        <v>0.4</v>
      </c>
      <c r="I79" s="84">
        <v>51431</v>
      </c>
      <c r="J79" s="74"/>
      <c r="K79" s="74"/>
      <c r="L79" s="82" t="s">
        <v>134</v>
      </c>
      <c r="M79" s="85">
        <v>0.4</v>
      </c>
      <c r="N79" s="83" t="s">
        <v>3</v>
      </c>
      <c r="O79" s="84">
        <v>81325</v>
      </c>
      <c r="P79" s="74"/>
      <c r="Q79" s="74"/>
      <c r="R79" s="95" t="s">
        <v>224</v>
      </c>
      <c r="S79" s="96" t="s">
        <v>17</v>
      </c>
      <c r="T79" s="97">
        <v>362.8</v>
      </c>
      <c r="U79" s="74"/>
      <c r="V79" s="75"/>
      <c r="W79" s="75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</row>
    <row r="80" spans="1:33" ht="15">
      <c r="A80" s="126"/>
      <c r="B80" s="115"/>
      <c r="C80" s="116"/>
      <c r="D80" s="87"/>
      <c r="E80" s="88"/>
      <c r="F80" s="82" t="s">
        <v>257</v>
      </c>
      <c r="G80" s="83" t="s">
        <v>3</v>
      </c>
      <c r="H80" s="83">
        <v>0.4</v>
      </c>
      <c r="I80" s="84">
        <v>60651</v>
      </c>
      <c r="J80" s="74"/>
      <c r="K80" s="74"/>
      <c r="L80" s="82" t="s">
        <v>135</v>
      </c>
      <c r="M80" s="85">
        <v>0.4</v>
      </c>
      <c r="N80" s="83" t="s">
        <v>3</v>
      </c>
      <c r="O80" s="84">
        <v>102354</v>
      </c>
      <c r="P80" s="74"/>
      <c r="Q80" s="74"/>
      <c r="R80" s="95" t="s">
        <v>225</v>
      </c>
      <c r="S80" s="96" t="s">
        <v>17</v>
      </c>
      <c r="T80" s="97">
        <v>283.7</v>
      </c>
      <c r="U80" s="74"/>
      <c r="V80" s="75"/>
      <c r="W80" s="75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</row>
    <row r="81" spans="1:33" ht="15">
      <c r="A81" s="126"/>
      <c r="B81" s="115"/>
      <c r="C81" s="116"/>
      <c r="D81" s="87"/>
      <c r="E81" s="88"/>
      <c r="F81" s="82" t="s">
        <v>258</v>
      </c>
      <c r="G81" s="83" t="s">
        <v>3</v>
      </c>
      <c r="H81" s="83">
        <v>0.4</v>
      </c>
      <c r="I81" s="84">
        <v>74601</v>
      </c>
      <c r="J81" s="74"/>
      <c r="K81" s="74"/>
      <c r="L81" s="82" t="s">
        <v>136</v>
      </c>
      <c r="M81" s="85">
        <v>0.4</v>
      </c>
      <c r="N81" s="83" t="s">
        <v>3</v>
      </c>
      <c r="O81" s="84">
        <v>108616</v>
      </c>
      <c r="P81" s="74"/>
      <c r="Q81" s="74"/>
      <c r="R81" s="95" t="s">
        <v>227</v>
      </c>
      <c r="S81" s="96" t="s">
        <v>17</v>
      </c>
      <c r="T81" s="97">
        <v>1021.6</v>
      </c>
      <c r="U81" s="74"/>
      <c r="V81" s="75"/>
      <c r="W81" s="75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</row>
    <row r="82" spans="1:33" ht="15">
      <c r="A82" s="126"/>
      <c r="B82" s="115"/>
      <c r="C82" s="116"/>
      <c r="D82" s="87"/>
      <c r="E82" s="88"/>
      <c r="F82" s="82" t="s">
        <v>259</v>
      </c>
      <c r="G82" s="83" t="s">
        <v>3</v>
      </c>
      <c r="H82" s="83">
        <v>0.4</v>
      </c>
      <c r="I82" s="84">
        <v>92206</v>
      </c>
      <c r="J82" s="74"/>
      <c r="K82" s="74"/>
      <c r="L82" s="82" t="s">
        <v>137</v>
      </c>
      <c r="M82" s="85">
        <v>0.4</v>
      </c>
      <c r="N82" s="83" t="s">
        <v>3</v>
      </c>
      <c r="O82" s="84">
        <v>120274</v>
      </c>
      <c r="P82" s="74"/>
      <c r="Q82" s="74"/>
      <c r="R82" s="95" t="s">
        <v>226</v>
      </c>
      <c r="S82" s="96" t="s">
        <v>17</v>
      </c>
      <c r="T82" s="97">
        <v>886.7</v>
      </c>
      <c r="U82" s="74"/>
      <c r="V82" s="75"/>
      <c r="W82" s="75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</row>
    <row r="83" spans="1:33" ht="15">
      <c r="A83" s="126"/>
      <c r="B83" s="115"/>
      <c r="C83" s="116"/>
      <c r="D83" s="87"/>
      <c r="E83" s="88"/>
      <c r="F83" s="82" t="s">
        <v>260</v>
      </c>
      <c r="G83" s="83" t="s">
        <v>3</v>
      </c>
      <c r="H83" s="83">
        <v>0.4</v>
      </c>
      <c r="I83" s="84">
        <v>111912</v>
      </c>
      <c r="J83" s="74"/>
      <c r="K83" s="74"/>
      <c r="L83" s="82" t="s">
        <v>138</v>
      </c>
      <c r="M83" s="85">
        <v>0.4</v>
      </c>
      <c r="N83" s="83" t="s">
        <v>3</v>
      </c>
      <c r="O83" s="84">
        <v>141622</v>
      </c>
      <c r="P83" s="74"/>
      <c r="Q83" s="74"/>
      <c r="R83" s="95" t="s">
        <v>228</v>
      </c>
      <c r="S83" s="96" t="s">
        <v>17</v>
      </c>
      <c r="T83" s="97">
        <v>629.1</v>
      </c>
      <c r="U83" s="74"/>
      <c r="V83" s="75"/>
      <c r="W83" s="75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</row>
    <row r="84" spans="1:33" ht="15">
      <c r="A84" s="126"/>
      <c r="B84" s="115"/>
      <c r="C84" s="116"/>
      <c r="D84" s="87"/>
      <c r="E84" s="88"/>
      <c r="F84" s="82" t="s">
        <v>261</v>
      </c>
      <c r="G84" s="83" t="s">
        <v>3</v>
      </c>
      <c r="H84" s="83">
        <v>0.4</v>
      </c>
      <c r="I84" s="84">
        <v>134247</v>
      </c>
      <c r="J84" s="74"/>
      <c r="K84" s="74"/>
      <c r="L84" s="82" t="s">
        <v>139</v>
      </c>
      <c r="M84" s="85">
        <v>0.4</v>
      </c>
      <c r="N84" s="83" t="s">
        <v>3</v>
      </c>
      <c r="O84" s="84">
        <v>142113.4</v>
      </c>
      <c r="P84" s="74"/>
      <c r="Q84" s="74"/>
      <c r="R84" s="95" t="s">
        <v>229</v>
      </c>
      <c r="S84" s="96" t="s">
        <v>17</v>
      </c>
      <c r="T84" s="97">
        <v>465.5</v>
      </c>
      <c r="U84" s="74"/>
      <c r="V84" s="75"/>
      <c r="W84" s="75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</row>
    <row r="85" spans="3:33" ht="15">
      <c r="C85" s="2"/>
      <c r="D85" s="87"/>
      <c r="E85" s="88"/>
      <c r="F85" s="82" t="s">
        <v>24</v>
      </c>
      <c r="G85" s="83"/>
      <c r="H85" s="83"/>
      <c r="I85" s="84"/>
      <c r="J85" s="74"/>
      <c r="K85" s="74"/>
      <c r="L85" s="82" t="s">
        <v>140</v>
      </c>
      <c r="M85" s="85">
        <v>0.4</v>
      </c>
      <c r="N85" s="83" t="s">
        <v>3</v>
      </c>
      <c r="O85" s="84">
        <v>152554</v>
      </c>
      <c r="P85" s="74"/>
      <c r="Q85" s="74"/>
      <c r="R85" s="95" t="s">
        <v>230</v>
      </c>
      <c r="S85" s="96" t="s">
        <v>17</v>
      </c>
      <c r="T85" s="97">
        <v>324.7</v>
      </c>
      <c r="U85" s="74"/>
      <c r="V85" s="75"/>
      <c r="W85" s="75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</row>
    <row r="86" spans="3:33" ht="15">
      <c r="C86" s="2"/>
      <c r="D86" s="87"/>
      <c r="E86" s="88"/>
      <c r="F86" s="82" t="s">
        <v>162</v>
      </c>
      <c r="G86" s="83" t="s">
        <v>3</v>
      </c>
      <c r="H86" s="83" t="s">
        <v>0</v>
      </c>
      <c r="I86" s="84">
        <v>242436</v>
      </c>
      <c r="J86" s="74"/>
      <c r="K86" s="74"/>
      <c r="L86" s="82" t="s">
        <v>141</v>
      </c>
      <c r="M86" s="85">
        <v>0.4</v>
      </c>
      <c r="N86" s="83" t="s">
        <v>3</v>
      </c>
      <c r="O86" s="84">
        <v>175637</v>
      </c>
      <c r="P86" s="74"/>
      <c r="Q86" s="74"/>
      <c r="R86" s="95" t="s">
        <v>231</v>
      </c>
      <c r="S86" s="96" t="s">
        <v>17</v>
      </c>
      <c r="T86" s="97">
        <v>1789.3</v>
      </c>
      <c r="U86" s="74"/>
      <c r="V86" s="75"/>
      <c r="W86" s="75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</row>
    <row r="87" spans="3:27" ht="15">
      <c r="C87" s="2"/>
      <c r="D87" s="87"/>
      <c r="E87" s="88"/>
      <c r="F87" s="82" t="s">
        <v>163</v>
      </c>
      <c r="G87" s="83" t="s">
        <v>3</v>
      </c>
      <c r="H87" s="83" t="s">
        <v>0</v>
      </c>
      <c r="I87" s="84">
        <v>258025</v>
      </c>
      <c r="J87" s="74"/>
      <c r="K87" s="74"/>
      <c r="L87" s="82" t="s">
        <v>142</v>
      </c>
      <c r="M87" s="85">
        <v>0.4</v>
      </c>
      <c r="N87" s="83" t="s">
        <v>3</v>
      </c>
      <c r="O87" s="84">
        <v>184905</v>
      </c>
      <c r="P87" s="74"/>
      <c r="Q87" s="74"/>
      <c r="R87" s="95" t="s">
        <v>232</v>
      </c>
      <c r="S87" s="96" t="s">
        <v>17</v>
      </c>
      <c r="T87" s="97">
        <v>1136.9</v>
      </c>
      <c r="U87" s="74"/>
      <c r="V87" s="75"/>
      <c r="W87" s="75"/>
      <c r="Y87" s="122"/>
      <c r="Z87" s="123"/>
      <c r="AA87" s="124"/>
    </row>
    <row r="88" spans="1:27" ht="15">
      <c r="A88" s="2"/>
      <c r="B88" s="115"/>
      <c r="C88" s="116"/>
      <c r="D88" s="87"/>
      <c r="E88" s="88"/>
      <c r="F88" s="82" t="s">
        <v>164</v>
      </c>
      <c r="G88" s="83" t="s">
        <v>3</v>
      </c>
      <c r="H88" s="83" t="s">
        <v>0</v>
      </c>
      <c r="I88" s="84">
        <v>273043</v>
      </c>
      <c r="J88" s="74"/>
      <c r="K88" s="74"/>
      <c r="L88" s="82" t="s">
        <v>143</v>
      </c>
      <c r="M88" s="85">
        <v>0.4</v>
      </c>
      <c r="N88" s="83" t="s">
        <v>3</v>
      </c>
      <c r="O88" s="84">
        <v>146549</v>
      </c>
      <c r="P88" s="74"/>
      <c r="Q88" s="74"/>
      <c r="R88" s="95" t="s">
        <v>233</v>
      </c>
      <c r="S88" s="96" t="s">
        <v>17</v>
      </c>
      <c r="T88" s="97">
        <v>853</v>
      </c>
      <c r="U88" s="74"/>
      <c r="V88" s="75"/>
      <c r="W88" s="75"/>
      <c r="Y88" s="122"/>
      <c r="Z88" s="123"/>
      <c r="AA88" s="124"/>
    </row>
    <row r="89" spans="1:23" ht="15">
      <c r="A89" s="110"/>
      <c r="B89" s="115"/>
      <c r="C89" s="116"/>
      <c r="D89" s="87"/>
      <c r="E89" s="88"/>
      <c r="F89" s="82" t="s">
        <v>165</v>
      </c>
      <c r="G89" s="83" t="s">
        <v>3</v>
      </c>
      <c r="H89" s="83" t="s">
        <v>0</v>
      </c>
      <c r="I89" s="84">
        <v>298570</v>
      </c>
      <c r="J89" s="74"/>
      <c r="K89" s="74"/>
      <c r="L89" s="82" t="s">
        <v>144</v>
      </c>
      <c r="M89" s="85">
        <v>0.4</v>
      </c>
      <c r="N89" s="83" t="s">
        <v>3</v>
      </c>
      <c r="O89" s="84">
        <v>171446</v>
      </c>
      <c r="P89" s="74"/>
      <c r="Q89" s="74"/>
      <c r="R89" s="95" t="s">
        <v>234</v>
      </c>
      <c r="S89" s="96" t="s">
        <v>17</v>
      </c>
      <c r="T89" s="97">
        <v>606.4</v>
      </c>
      <c r="U89" s="74"/>
      <c r="V89" s="75"/>
      <c r="W89" s="75"/>
    </row>
    <row r="90" spans="1:23" ht="15">
      <c r="A90" s="110"/>
      <c r="B90" s="115"/>
      <c r="C90" s="116"/>
      <c r="D90" s="87"/>
      <c r="E90" s="88"/>
      <c r="F90" s="82" t="s">
        <v>166</v>
      </c>
      <c r="G90" s="83" t="s">
        <v>3</v>
      </c>
      <c r="H90" s="83" t="s">
        <v>0</v>
      </c>
      <c r="I90" s="84">
        <v>318818</v>
      </c>
      <c r="J90" s="74"/>
      <c r="K90" s="74"/>
      <c r="L90" s="82" t="s">
        <v>145</v>
      </c>
      <c r="M90" s="85">
        <v>0.4</v>
      </c>
      <c r="N90" s="83" t="s">
        <v>3</v>
      </c>
      <c r="O90" s="84">
        <v>213227</v>
      </c>
      <c r="P90" s="74"/>
      <c r="Q90" s="74"/>
      <c r="R90" s="95" t="s">
        <v>235</v>
      </c>
      <c r="S90" s="96" t="s">
        <v>17</v>
      </c>
      <c r="T90" s="97">
        <v>1360.9</v>
      </c>
      <c r="U90" s="74"/>
      <c r="V90" s="75"/>
      <c r="W90" s="75"/>
    </row>
    <row r="91" spans="1:23" ht="15">
      <c r="A91" s="110"/>
      <c r="B91" s="115"/>
      <c r="C91" s="116"/>
      <c r="D91" s="87"/>
      <c r="E91" s="88"/>
      <c r="F91" s="82" t="s">
        <v>167</v>
      </c>
      <c r="G91" s="83" t="s">
        <v>3</v>
      </c>
      <c r="H91" s="83" t="s">
        <v>0</v>
      </c>
      <c r="I91" s="84">
        <v>361775</v>
      </c>
      <c r="J91" s="74"/>
      <c r="K91" s="74"/>
      <c r="L91" s="82" t="s">
        <v>146</v>
      </c>
      <c r="M91" s="85">
        <v>0.4</v>
      </c>
      <c r="N91" s="83" t="s">
        <v>3</v>
      </c>
      <c r="O91" s="84">
        <v>269240</v>
      </c>
      <c r="P91" s="74"/>
      <c r="Q91" s="74"/>
      <c r="R91" s="95" t="s">
        <v>236</v>
      </c>
      <c r="S91" s="96" t="s">
        <v>17</v>
      </c>
      <c r="T91" s="97">
        <v>899.9</v>
      </c>
      <c r="U91" s="74"/>
      <c r="V91" s="75"/>
      <c r="W91" s="75"/>
    </row>
    <row r="92" spans="1:23" ht="15">
      <c r="A92" s="110"/>
      <c r="B92" s="115"/>
      <c r="C92" s="116"/>
      <c r="D92" s="87"/>
      <c r="E92" s="88"/>
      <c r="F92" s="82" t="s">
        <v>168</v>
      </c>
      <c r="G92" s="83" t="s">
        <v>3</v>
      </c>
      <c r="H92" s="83" t="s">
        <v>0</v>
      </c>
      <c r="I92" s="84">
        <v>412539</v>
      </c>
      <c r="J92" s="74"/>
      <c r="K92" s="74"/>
      <c r="L92" s="82" t="s">
        <v>147</v>
      </c>
      <c r="M92" s="85">
        <v>0.4</v>
      </c>
      <c r="N92" s="83" t="s">
        <v>3</v>
      </c>
      <c r="O92" s="84">
        <v>252127</v>
      </c>
      <c r="P92" s="74"/>
      <c r="Q92" s="74"/>
      <c r="R92" s="95" t="s">
        <v>237</v>
      </c>
      <c r="S92" s="96" t="s">
        <v>17</v>
      </c>
      <c r="T92" s="97">
        <v>605.5</v>
      </c>
      <c r="U92" s="74"/>
      <c r="V92" s="75"/>
      <c r="W92" s="75"/>
    </row>
    <row r="93" spans="1:23" ht="15">
      <c r="A93" s="2"/>
      <c r="B93" s="2"/>
      <c r="C93" s="2"/>
      <c r="D93" s="87"/>
      <c r="E93" s="88"/>
      <c r="F93" s="82" t="s">
        <v>169</v>
      </c>
      <c r="G93" s="83" t="s">
        <v>3</v>
      </c>
      <c r="H93" s="83" t="s">
        <v>0</v>
      </c>
      <c r="I93" s="84">
        <v>452917</v>
      </c>
      <c r="J93" s="74"/>
      <c r="K93" s="74"/>
      <c r="L93" s="82" t="s">
        <v>148</v>
      </c>
      <c r="M93" s="85">
        <v>0.4</v>
      </c>
      <c r="N93" s="83" t="s">
        <v>3</v>
      </c>
      <c r="O93" s="84">
        <v>299494</v>
      </c>
      <c r="P93" s="74"/>
      <c r="Q93" s="74"/>
      <c r="R93" s="95" t="s">
        <v>238</v>
      </c>
      <c r="S93" s="96" t="s">
        <v>17</v>
      </c>
      <c r="T93" s="97">
        <v>1161.6</v>
      </c>
      <c r="U93" s="74"/>
      <c r="V93" s="75"/>
      <c r="W93" s="75"/>
    </row>
    <row r="94" spans="1:23" ht="15">
      <c r="A94" s="2"/>
      <c r="B94" s="2"/>
      <c r="C94" s="2"/>
      <c r="D94" s="87"/>
      <c r="E94" s="88"/>
      <c r="F94" s="82" t="s">
        <v>170</v>
      </c>
      <c r="G94" s="83" t="s">
        <v>3</v>
      </c>
      <c r="H94" s="83" t="s">
        <v>0</v>
      </c>
      <c r="I94" s="84">
        <v>151199</v>
      </c>
      <c r="J94" s="74"/>
      <c r="K94" s="74"/>
      <c r="L94" s="82" t="s">
        <v>149</v>
      </c>
      <c r="M94" s="85">
        <v>0.4</v>
      </c>
      <c r="N94" s="83" t="s">
        <v>3</v>
      </c>
      <c r="O94" s="84">
        <v>366136</v>
      </c>
      <c r="P94" s="74"/>
      <c r="Q94" s="74"/>
      <c r="R94" s="95" t="s">
        <v>151</v>
      </c>
      <c r="S94" s="96" t="s">
        <v>17</v>
      </c>
      <c r="T94" s="97">
        <v>12.2</v>
      </c>
      <c r="U94" s="74"/>
      <c r="V94" s="75"/>
      <c r="W94" s="75"/>
    </row>
    <row r="95" spans="1:23" ht="15">
      <c r="A95" s="75"/>
      <c r="B95" s="75"/>
      <c r="C95" s="75"/>
      <c r="D95" s="75"/>
      <c r="E95" s="75"/>
      <c r="F95" s="82" t="s">
        <v>274</v>
      </c>
      <c r="G95" s="83" t="s">
        <v>3</v>
      </c>
      <c r="H95" s="83" t="s">
        <v>0</v>
      </c>
      <c r="I95" s="84">
        <v>167610</v>
      </c>
      <c r="J95" s="74"/>
      <c r="K95" s="74"/>
      <c r="L95" s="127" t="s">
        <v>288</v>
      </c>
      <c r="M95" s="85">
        <v>0.4</v>
      </c>
      <c r="N95" s="83" t="s">
        <v>3</v>
      </c>
      <c r="O95" s="128">
        <v>390440</v>
      </c>
      <c r="P95" s="74"/>
      <c r="Q95" s="74"/>
      <c r="R95" s="95" t="s">
        <v>152</v>
      </c>
      <c r="S95" s="96" t="s">
        <v>17</v>
      </c>
      <c r="T95" s="97">
        <v>8.7</v>
      </c>
      <c r="U95" s="74"/>
      <c r="V95" s="75"/>
      <c r="W95" s="75"/>
    </row>
    <row r="96" spans="1:23" ht="15">
      <c r="A96" s="75"/>
      <c r="B96" s="75"/>
      <c r="C96" s="75"/>
      <c r="D96" s="75"/>
      <c r="E96" s="75"/>
      <c r="F96" s="82" t="s">
        <v>171</v>
      </c>
      <c r="G96" s="83" t="s">
        <v>3</v>
      </c>
      <c r="H96" s="83" t="s">
        <v>0</v>
      </c>
      <c r="I96" s="84">
        <v>177695</v>
      </c>
      <c r="J96" s="74"/>
      <c r="K96" s="74"/>
      <c r="L96" s="79" t="s">
        <v>24</v>
      </c>
      <c r="M96" s="83"/>
      <c r="N96" s="83"/>
      <c r="O96" s="84"/>
      <c r="P96" s="74"/>
      <c r="Q96" s="74"/>
      <c r="R96" s="125" t="s">
        <v>153</v>
      </c>
      <c r="S96" s="96" t="s">
        <v>17</v>
      </c>
      <c r="T96" s="97">
        <v>26.3</v>
      </c>
      <c r="U96" s="74"/>
      <c r="V96" s="75"/>
      <c r="W96" s="75"/>
    </row>
    <row r="97" spans="1:23" ht="15">
      <c r="A97" s="75"/>
      <c r="B97" s="75"/>
      <c r="C97" s="75"/>
      <c r="D97" s="75"/>
      <c r="E97" s="75"/>
      <c r="F97" s="82" t="s">
        <v>172</v>
      </c>
      <c r="G97" s="83" t="s">
        <v>3</v>
      </c>
      <c r="H97" s="83" t="s">
        <v>0</v>
      </c>
      <c r="I97" s="84">
        <v>198599</v>
      </c>
      <c r="J97" s="74"/>
      <c r="K97" s="74"/>
      <c r="L97" s="82" t="s">
        <v>176</v>
      </c>
      <c r="M97" s="83" t="s">
        <v>0</v>
      </c>
      <c r="N97" s="83" t="s">
        <v>3</v>
      </c>
      <c r="O97" s="84">
        <v>224284</v>
      </c>
      <c r="P97" s="74"/>
      <c r="Q97" s="74"/>
      <c r="R97" s="95" t="s">
        <v>154</v>
      </c>
      <c r="S97" s="96" t="s">
        <v>17</v>
      </c>
      <c r="T97" s="97">
        <v>103</v>
      </c>
      <c r="U97" s="74"/>
      <c r="V97" s="75"/>
      <c r="W97" s="75"/>
    </row>
    <row r="98" spans="1:23" ht="15">
      <c r="A98" s="75"/>
      <c r="B98" s="75"/>
      <c r="C98" s="75"/>
      <c r="D98" s="75"/>
      <c r="E98" s="75"/>
      <c r="F98" s="82" t="s">
        <v>173</v>
      </c>
      <c r="G98" s="83" t="s">
        <v>3</v>
      </c>
      <c r="H98" s="83" t="s">
        <v>0</v>
      </c>
      <c r="I98" s="84">
        <v>218705</v>
      </c>
      <c r="J98" s="74"/>
      <c r="K98" s="74"/>
      <c r="L98" s="82" t="s">
        <v>177</v>
      </c>
      <c r="M98" s="83" t="s">
        <v>0</v>
      </c>
      <c r="N98" s="83" t="s">
        <v>3</v>
      </c>
      <c r="O98" s="84">
        <v>376891</v>
      </c>
      <c r="P98" s="74"/>
      <c r="Q98" s="74"/>
      <c r="R98" s="95" t="s">
        <v>155</v>
      </c>
      <c r="S98" s="96" t="s">
        <v>17</v>
      </c>
      <c r="T98" s="97">
        <v>134.3</v>
      </c>
      <c r="U98" s="74"/>
      <c r="V98" s="75"/>
      <c r="W98" s="75"/>
    </row>
    <row r="99" spans="1:23" ht="15">
      <c r="A99" s="75"/>
      <c r="B99" s="75"/>
      <c r="C99" s="75"/>
      <c r="D99" s="75"/>
      <c r="E99" s="75"/>
      <c r="F99" s="82" t="s">
        <v>174</v>
      </c>
      <c r="G99" s="83" t="s">
        <v>3</v>
      </c>
      <c r="H99" s="83" t="s">
        <v>0</v>
      </c>
      <c r="I99" s="84">
        <v>318726</v>
      </c>
      <c r="J99" s="74"/>
      <c r="K99" s="74"/>
      <c r="L99" s="82" t="s">
        <v>178</v>
      </c>
      <c r="M99" s="83" t="s">
        <v>0</v>
      </c>
      <c r="N99" s="83" t="s">
        <v>3</v>
      </c>
      <c r="O99" s="84">
        <v>239257</v>
      </c>
      <c r="P99" s="74"/>
      <c r="Q99" s="74"/>
      <c r="R99" s="95" t="s">
        <v>156</v>
      </c>
      <c r="S99" s="96" t="s">
        <v>17</v>
      </c>
      <c r="T99" s="97">
        <v>3.6</v>
      </c>
      <c r="U99" s="74"/>
      <c r="V99" s="75"/>
      <c r="W99" s="75"/>
    </row>
    <row r="100" spans="1:23" ht="15">
      <c r="A100" s="75"/>
      <c r="B100" s="75"/>
      <c r="C100" s="75"/>
      <c r="D100" s="75"/>
      <c r="E100" s="75"/>
      <c r="F100" s="82" t="s">
        <v>175</v>
      </c>
      <c r="G100" s="83" t="s">
        <v>3</v>
      </c>
      <c r="H100" s="83" t="s">
        <v>0</v>
      </c>
      <c r="I100" s="84">
        <v>140521</v>
      </c>
      <c r="J100" s="74"/>
      <c r="K100" s="74"/>
      <c r="L100" s="82" t="s">
        <v>179</v>
      </c>
      <c r="M100" s="83" t="s">
        <v>0</v>
      </c>
      <c r="N100" s="83" t="s">
        <v>3</v>
      </c>
      <c r="O100" s="84">
        <v>375850</v>
      </c>
      <c r="P100" s="74"/>
      <c r="Q100" s="74"/>
      <c r="R100" s="95" t="s">
        <v>239</v>
      </c>
      <c r="S100" s="96" t="s">
        <v>17</v>
      </c>
      <c r="T100" s="97">
        <v>703.1</v>
      </c>
      <c r="U100" s="74"/>
      <c r="V100" s="75"/>
      <c r="W100" s="75"/>
    </row>
    <row r="101" spans="1:23" ht="15">
      <c r="A101" s="75"/>
      <c r="B101" s="75"/>
      <c r="C101" s="75"/>
      <c r="D101" s="75"/>
      <c r="E101" s="75"/>
      <c r="F101" s="74"/>
      <c r="G101" s="74"/>
      <c r="H101" s="74"/>
      <c r="I101" s="74"/>
      <c r="J101" s="74"/>
      <c r="K101" s="74"/>
      <c r="L101" s="82" t="s">
        <v>180</v>
      </c>
      <c r="M101" s="83" t="s">
        <v>0</v>
      </c>
      <c r="N101" s="83" t="s">
        <v>3</v>
      </c>
      <c r="O101" s="84">
        <v>253548</v>
      </c>
      <c r="P101" s="74"/>
      <c r="Q101" s="74"/>
      <c r="R101" s="95" t="s">
        <v>240</v>
      </c>
      <c r="S101" s="96" t="s">
        <v>17</v>
      </c>
      <c r="T101" s="97">
        <v>349.5</v>
      </c>
      <c r="U101" s="74"/>
      <c r="V101" s="75"/>
      <c r="W101" s="75"/>
    </row>
    <row r="102" spans="1:23" ht="15">
      <c r="A102" s="75"/>
      <c r="B102" s="75"/>
      <c r="C102" s="75"/>
      <c r="D102" s="75"/>
      <c r="E102" s="75"/>
      <c r="F102" s="74"/>
      <c r="G102" s="74"/>
      <c r="H102" s="74"/>
      <c r="I102" s="74"/>
      <c r="J102" s="74"/>
      <c r="K102" s="74"/>
      <c r="L102" s="82" t="s">
        <v>181</v>
      </c>
      <c r="M102" s="83" t="s">
        <v>0</v>
      </c>
      <c r="N102" s="83" t="s">
        <v>3</v>
      </c>
      <c r="O102" s="84">
        <v>283092</v>
      </c>
      <c r="P102" s="74"/>
      <c r="Q102" s="74"/>
      <c r="R102" s="122"/>
      <c r="S102" s="123"/>
      <c r="T102" s="124"/>
      <c r="U102" s="74"/>
      <c r="V102" s="75"/>
      <c r="W102" s="75"/>
    </row>
    <row r="103" spans="1:23" ht="15">
      <c r="A103" s="75"/>
      <c r="B103" s="75"/>
      <c r="C103" s="75"/>
      <c r="D103" s="75"/>
      <c r="E103" s="75"/>
      <c r="F103" s="74"/>
      <c r="G103" s="74"/>
      <c r="H103" s="74"/>
      <c r="I103" s="74"/>
      <c r="J103" s="74"/>
      <c r="K103" s="74"/>
      <c r="L103" s="82" t="s">
        <v>182</v>
      </c>
      <c r="M103" s="83" t="s">
        <v>0</v>
      </c>
      <c r="N103" s="83" t="s">
        <v>3</v>
      </c>
      <c r="O103" s="84">
        <v>494509</v>
      </c>
      <c r="P103" s="74"/>
      <c r="Q103" s="74"/>
      <c r="R103" s="122"/>
      <c r="S103" s="123"/>
      <c r="T103" s="124"/>
      <c r="U103" s="74"/>
      <c r="V103" s="75"/>
      <c r="W103" s="75"/>
    </row>
    <row r="104" spans="1:23" ht="15">
      <c r="A104" s="75"/>
      <c r="B104" s="75"/>
      <c r="C104" s="75"/>
      <c r="D104" s="75"/>
      <c r="E104" s="75"/>
      <c r="F104" s="74"/>
      <c r="G104" s="74"/>
      <c r="H104" s="74"/>
      <c r="I104" s="74"/>
      <c r="J104" s="74"/>
      <c r="K104" s="74"/>
      <c r="L104" s="82" t="s">
        <v>183</v>
      </c>
      <c r="M104" s="83" t="s">
        <v>0</v>
      </c>
      <c r="N104" s="83" t="s">
        <v>3</v>
      </c>
      <c r="O104" s="84">
        <v>270257</v>
      </c>
      <c r="P104" s="74"/>
      <c r="Q104" s="74"/>
      <c r="R104" s="122"/>
      <c r="S104" s="123"/>
      <c r="T104" s="124"/>
      <c r="U104" s="74"/>
      <c r="V104" s="75"/>
      <c r="W104" s="75"/>
    </row>
    <row r="105" spans="1:23" ht="15">
      <c r="A105" s="75"/>
      <c r="B105" s="75"/>
      <c r="C105" s="75"/>
      <c r="D105" s="75"/>
      <c r="E105" s="75"/>
      <c r="F105" s="74"/>
      <c r="G105" s="74"/>
      <c r="H105" s="74"/>
      <c r="I105" s="74"/>
      <c r="J105" s="74"/>
      <c r="K105" s="74"/>
      <c r="L105" s="82" t="s">
        <v>184</v>
      </c>
      <c r="M105" s="83" t="s">
        <v>0</v>
      </c>
      <c r="N105" s="83" t="s">
        <v>3</v>
      </c>
      <c r="O105" s="84">
        <v>468837</v>
      </c>
      <c r="P105" s="74"/>
      <c r="Q105" s="74"/>
      <c r="R105" s="122"/>
      <c r="S105" s="123"/>
      <c r="T105" s="124"/>
      <c r="U105" s="74"/>
      <c r="V105" s="75"/>
      <c r="W105" s="75"/>
    </row>
    <row r="106" spans="1:23" ht="15">
      <c r="A106" s="75"/>
      <c r="B106" s="75"/>
      <c r="C106" s="75"/>
      <c r="D106" s="75"/>
      <c r="E106" s="75"/>
      <c r="F106" s="117" t="s">
        <v>30</v>
      </c>
      <c r="G106" s="118">
        <v>0.4</v>
      </c>
      <c r="H106" s="119" t="s">
        <v>3</v>
      </c>
      <c r="I106" s="120">
        <v>116944</v>
      </c>
      <c r="J106" s="74"/>
      <c r="K106" s="74"/>
      <c r="L106" s="82" t="s">
        <v>185</v>
      </c>
      <c r="M106" s="83" t="s">
        <v>0</v>
      </c>
      <c r="N106" s="83" t="s">
        <v>3</v>
      </c>
      <c r="O106" s="84">
        <v>293908</v>
      </c>
      <c r="P106" s="74"/>
      <c r="Q106" s="74"/>
      <c r="R106" s="122"/>
      <c r="S106" s="123"/>
      <c r="T106" s="124"/>
      <c r="U106" s="74"/>
      <c r="V106" s="75"/>
      <c r="W106" s="75"/>
    </row>
    <row r="107" spans="1:23" ht="15">
      <c r="A107" s="75"/>
      <c r="B107" s="75"/>
      <c r="C107" s="75"/>
      <c r="D107" s="75"/>
      <c r="E107" s="75"/>
      <c r="F107" s="117" t="s">
        <v>31</v>
      </c>
      <c r="G107" s="118">
        <v>0.4</v>
      </c>
      <c r="H107" s="119" t="s">
        <v>3</v>
      </c>
      <c r="I107" s="120">
        <v>112362.03</v>
      </c>
      <c r="J107" s="75"/>
      <c r="K107" s="75"/>
      <c r="L107" s="82" t="s">
        <v>186</v>
      </c>
      <c r="M107" s="83" t="s">
        <v>0</v>
      </c>
      <c r="N107" s="83" t="s">
        <v>3</v>
      </c>
      <c r="O107" s="84">
        <v>519264</v>
      </c>
      <c r="P107" s="75"/>
      <c r="Q107" s="75"/>
      <c r="R107" s="122"/>
      <c r="S107" s="123"/>
      <c r="T107" s="124"/>
      <c r="U107" s="75"/>
      <c r="V107" s="75"/>
      <c r="W107" s="75"/>
    </row>
    <row r="108" spans="1:23" ht="15">
      <c r="A108" s="75"/>
      <c r="B108" s="75"/>
      <c r="C108" s="75"/>
      <c r="D108" s="75"/>
      <c r="E108" s="75"/>
      <c r="F108" s="117" t="s">
        <v>32</v>
      </c>
      <c r="G108" s="118">
        <v>0.4</v>
      </c>
      <c r="H108" s="119" t="s">
        <v>3</v>
      </c>
      <c r="I108" s="120">
        <v>120830.02</v>
      </c>
      <c r="J108" s="75"/>
      <c r="K108" s="75"/>
      <c r="L108" s="82" t="s">
        <v>187</v>
      </c>
      <c r="M108" s="83" t="s">
        <v>0</v>
      </c>
      <c r="N108" s="83" t="s">
        <v>3</v>
      </c>
      <c r="O108" s="84">
        <v>331484</v>
      </c>
      <c r="P108" s="75"/>
      <c r="Q108" s="75"/>
      <c r="R108" s="90"/>
      <c r="S108" s="87"/>
      <c r="T108" s="91"/>
      <c r="U108" s="75"/>
      <c r="V108" s="75"/>
      <c r="W108" s="75"/>
    </row>
    <row r="109" spans="1:23" ht="15">
      <c r="A109" s="75"/>
      <c r="B109" s="75"/>
      <c r="C109" s="75"/>
      <c r="D109" s="75"/>
      <c r="E109" s="75"/>
      <c r="F109" s="117" t="s">
        <v>33</v>
      </c>
      <c r="G109" s="118">
        <v>0.4</v>
      </c>
      <c r="H109" s="119" t="s">
        <v>3</v>
      </c>
      <c r="I109" s="120">
        <v>129862.03</v>
      </c>
      <c r="J109" s="75"/>
      <c r="K109" s="75"/>
      <c r="L109" s="82" t="s">
        <v>188</v>
      </c>
      <c r="M109" s="83" t="s">
        <v>0</v>
      </c>
      <c r="N109" s="83" t="s">
        <v>3</v>
      </c>
      <c r="O109" s="84">
        <v>591292</v>
      </c>
      <c r="P109" s="75"/>
      <c r="Q109" s="75"/>
      <c r="U109" s="75"/>
      <c r="V109" s="75"/>
      <c r="W109" s="75"/>
    </row>
    <row r="110" spans="1:23" ht="15">
      <c r="A110" s="75"/>
      <c r="B110" s="75"/>
      <c r="C110" s="75"/>
      <c r="D110" s="75"/>
      <c r="E110" s="75"/>
      <c r="F110" s="117" t="s">
        <v>34</v>
      </c>
      <c r="G110" s="118">
        <v>0.4</v>
      </c>
      <c r="H110" s="119" t="s">
        <v>3</v>
      </c>
      <c r="I110" s="120">
        <v>138814</v>
      </c>
      <c r="J110" s="75"/>
      <c r="K110" s="75"/>
      <c r="L110" s="82" t="s">
        <v>189</v>
      </c>
      <c r="M110" s="83" t="s">
        <v>0</v>
      </c>
      <c r="N110" s="83" t="s">
        <v>3</v>
      </c>
      <c r="O110" s="84">
        <v>1066846</v>
      </c>
      <c r="P110" s="75"/>
      <c r="Q110" s="75"/>
      <c r="U110" s="75"/>
      <c r="V110" s="75"/>
      <c r="W110" s="75"/>
    </row>
    <row r="111" spans="1:23" ht="15">
      <c r="A111" s="75"/>
      <c r="B111" s="75"/>
      <c r="C111" s="75"/>
      <c r="D111" s="75"/>
      <c r="E111" s="75"/>
      <c r="F111" s="117"/>
      <c r="G111" s="118"/>
      <c r="H111" s="119"/>
      <c r="I111" s="120"/>
      <c r="J111" s="75"/>
      <c r="K111" s="75"/>
      <c r="L111" s="82" t="s">
        <v>190</v>
      </c>
      <c r="M111" s="83" t="s">
        <v>0</v>
      </c>
      <c r="N111" s="83" t="s">
        <v>3</v>
      </c>
      <c r="O111" s="129">
        <v>216761</v>
      </c>
      <c r="P111" s="75"/>
      <c r="Q111" s="75"/>
      <c r="U111" s="75"/>
      <c r="V111" s="75"/>
      <c r="W111" s="75"/>
    </row>
    <row r="112" spans="1:23" ht="15">
      <c r="A112" s="75"/>
      <c r="B112" s="75"/>
      <c r="C112" s="75"/>
      <c r="D112" s="75"/>
      <c r="E112" s="75"/>
      <c r="F112" s="117" t="s">
        <v>36</v>
      </c>
      <c r="G112" s="118">
        <v>0.4</v>
      </c>
      <c r="H112" s="119" t="s">
        <v>3</v>
      </c>
      <c r="I112" s="120">
        <v>136664.02</v>
      </c>
      <c r="J112" s="75"/>
      <c r="K112" s="75"/>
      <c r="L112" s="82" t="s">
        <v>191</v>
      </c>
      <c r="M112" s="83" t="s">
        <v>0</v>
      </c>
      <c r="N112" s="83" t="s">
        <v>3</v>
      </c>
      <c r="O112" s="129">
        <v>232810</v>
      </c>
      <c r="P112" s="75"/>
      <c r="Q112" s="75"/>
      <c r="U112" s="75"/>
      <c r="V112" s="75"/>
      <c r="W112" s="75"/>
    </row>
    <row r="113" spans="1:23" ht="15">
      <c r="A113" s="75"/>
      <c r="B113" s="75"/>
      <c r="C113" s="75"/>
      <c r="D113" s="75"/>
      <c r="E113" s="75"/>
      <c r="F113" s="117" t="s">
        <v>35</v>
      </c>
      <c r="G113" s="118">
        <v>0.4</v>
      </c>
      <c r="H113" s="119" t="s">
        <v>3</v>
      </c>
      <c r="I113" s="120">
        <v>149702</v>
      </c>
      <c r="J113" s="75"/>
      <c r="K113" s="75"/>
      <c r="L113" s="82" t="s">
        <v>192</v>
      </c>
      <c r="M113" s="83" t="s">
        <v>0</v>
      </c>
      <c r="N113" s="83" t="s">
        <v>3</v>
      </c>
      <c r="O113" s="129">
        <v>237946</v>
      </c>
      <c r="P113" s="75"/>
      <c r="Q113" s="75"/>
      <c r="U113" s="75"/>
      <c r="V113" s="75"/>
      <c r="W113" s="75"/>
    </row>
    <row r="114" spans="1:23" ht="15">
      <c r="A114" s="75"/>
      <c r="B114" s="75"/>
      <c r="C114" s="75"/>
      <c r="D114" s="75"/>
      <c r="E114" s="75"/>
      <c r="F114" s="117" t="s">
        <v>99</v>
      </c>
      <c r="G114" s="118">
        <v>0.4</v>
      </c>
      <c r="H114" s="119" t="s">
        <v>3</v>
      </c>
      <c r="I114" s="120">
        <v>165533</v>
      </c>
      <c r="J114" s="75"/>
      <c r="K114" s="75"/>
      <c r="L114" s="82" t="s">
        <v>193</v>
      </c>
      <c r="M114" s="83" t="s">
        <v>0</v>
      </c>
      <c r="N114" s="83" t="s">
        <v>3</v>
      </c>
      <c r="O114" s="129">
        <v>242828</v>
      </c>
      <c r="P114" s="75"/>
      <c r="Q114" s="75"/>
      <c r="U114" s="75"/>
      <c r="V114" s="75"/>
      <c r="W114" s="75"/>
    </row>
    <row r="115" spans="1:23" ht="15">
      <c r="A115" s="75"/>
      <c r="B115" s="75"/>
      <c r="C115" s="75"/>
      <c r="D115" s="75"/>
      <c r="E115" s="75"/>
      <c r="F115" s="117"/>
      <c r="G115" s="118"/>
      <c r="H115" s="119"/>
      <c r="I115" s="120"/>
      <c r="J115" s="75"/>
      <c r="K115" s="75"/>
      <c r="L115" s="82" t="s">
        <v>194</v>
      </c>
      <c r="M115" s="83" t="s">
        <v>0</v>
      </c>
      <c r="N115" s="83" t="s">
        <v>3</v>
      </c>
      <c r="O115" s="129">
        <v>257373</v>
      </c>
      <c r="P115" s="75"/>
      <c r="Q115" s="75"/>
      <c r="R115" s="75"/>
      <c r="S115" s="75"/>
      <c r="T115" s="75"/>
      <c r="U115" s="75"/>
      <c r="V115" s="75"/>
      <c r="W115" s="75"/>
    </row>
    <row r="116" spans="1:23" ht="15">
      <c r="A116" s="75"/>
      <c r="B116" s="75"/>
      <c r="C116" s="75"/>
      <c r="D116" s="75"/>
      <c r="E116" s="75"/>
      <c r="F116" s="117"/>
      <c r="G116" s="118"/>
      <c r="H116" s="119"/>
      <c r="I116" s="120"/>
      <c r="J116" s="75"/>
      <c r="K116" s="75"/>
      <c r="L116" s="82" t="s">
        <v>195</v>
      </c>
      <c r="M116" s="83" t="s">
        <v>0</v>
      </c>
      <c r="N116" s="83" t="s">
        <v>3</v>
      </c>
      <c r="O116" s="129">
        <v>325207</v>
      </c>
      <c r="P116" s="75"/>
      <c r="Q116" s="75"/>
      <c r="R116" s="75"/>
      <c r="S116" s="75"/>
      <c r="T116" s="75"/>
      <c r="U116" s="75"/>
      <c r="V116" s="75"/>
      <c r="W116" s="75"/>
    </row>
    <row r="117" spans="1:23" ht="15">
      <c r="A117" s="75"/>
      <c r="B117" s="75"/>
      <c r="C117" s="75"/>
      <c r="D117" s="75"/>
      <c r="E117" s="75"/>
      <c r="F117" s="117" t="s">
        <v>24</v>
      </c>
      <c r="G117" s="119"/>
      <c r="H117" s="119"/>
      <c r="I117" s="120"/>
      <c r="J117" s="75"/>
      <c r="K117" s="75"/>
      <c r="L117" s="82" t="s">
        <v>196</v>
      </c>
      <c r="M117" s="83" t="s">
        <v>0</v>
      </c>
      <c r="N117" s="83" t="s">
        <v>3</v>
      </c>
      <c r="O117" s="129">
        <v>491736</v>
      </c>
      <c r="P117" s="75"/>
      <c r="Q117" s="75"/>
      <c r="R117" s="75"/>
      <c r="S117" s="75"/>
      <c r="T117" s="75"/>
      <c r="U117" s="75"/>
      <c r="V117" s="75"/>
      <c r="W117" s="75"/>
    </row>
    <row r="118" spans="1:23" ht="15">
      <c r="A118" s="75"/>
      <c r="B118" s="75"/>
      <c r="C118" s="75"/>
      <c r="D118" s="75"/>
      <c r="E118" s="75"/>
      <c r="F118" s="117" t="s">
        <v>37</v>
      </c>
      <c r="G118" s="119" t="s">
        <v>0</v>
      </c>
      <c r="H118" s="119" t="s">
        <v>3</v>
      </c>
      <c r="I118" s="120">
        <v>300774</v>
      </c>
      <c r="J118" s="75"/>
      <c r="K118" s="75"/>
      <c r="L118" s="82" t="s">
        <v>197</v>
      </c>
      <c r="M118" s="83" t="s">
        <v>0</v>
      </c>
      <c r="N118" s="83" t="s">
        <v>3</v>
      </c>
      <c r="O118" s="128">
        <v>237997</v>
      </c>
      <c r="P118" s="75"/>
      <c r="Q118" s="75"/>
      <c r="R118" s="75"/>
      <c r="S118" s="75"/>
      <c r="T118" s="75"/>
      <c r="U118" s="75"/>
      <c r="V118" s="75"/>
      <c r="W118" s="75"/>
    </row>
    <row r="119" spans="1:23" ht="15">
      <c r="A119" s="75"/>
      <c r="B119" s="75"/>
      <c r="C119" s="75"/>
      <c r="D119" s="75"/>
      <c r="E119" s="75"/>
      <c r="F119" s="117" t="s">
        <v>38</v>
      </c>
      <c r="G119" s="119" t="s">
        <v>0</v>
      </c>
      <c r="H119" s="119" t="s">
        <v>3</v>
      </c>
      <c r="I119" s="120">
        <v>300449</v>
      </c>
      <c r="J119" s="75"/>
      <c r="K119" s="75"/>
      <c r="L119" s="82" t="s">
        <v>198</v>
      </c>
      <c r="M119" s="83" t="s">
        <v>0</v>
      </c>
      <c r="N119" s="83" t="s">
        <v>3</v>
      </c>
      <c r="O119" s="128">
        <v>252410</v>
      </c>
      <c r="P119" s="75"/>
      <c r="Q119" s="75"/>
      <c r="R119" s="75"/>
      <c r="S119" s="75"/>
      <c r="T119" s="75"/>
      <c r="U119" s="75"/>
      <c r="V119" s="75"/>
      <c r="W119" s="75"/>
    </row>
    <row r="120" spans="1:23" ht="15">
      <c r="A120" s="75"/>
      <c r="B120" s="75"/>
      <c r="C120" s="75"/>
      <c r="D120" s="75"/>
      <c r="E120" s="75"/>
      <c r="F120" s="117" t="s">
        <v>39</v>
      </c>
      <c r="G120" s="119" t="s">
        <v>0</v>
      </c>
      <c r="H120" s="119" t="s">
        <v>3</v>
      </c>
      <c r="I120" s="120">
        <v>359582</v>
      </c>
      <c r="J120" s="75"/>
      <c r="K120" s="75"/>
      <c r="L120" s="82" t="s">
        <v>199</v>
      </c>
      <c r="M120" s="83" t="s">
        <v>0</v>
      </c>
      <c r="N120" s="83" t="s">
        <v>3</v>
      </c>
      <c r="O120" s="128">
        <v>271688</v>
      </c>
      <c r="P120" s="75"/>
      <c r="Q120" s="75"/>
      <c r="R120" s="75"/>
      <c r="S120" s="75"/>
      <c r="T120" s="75"/>
      <c r="U120" s="75"/>
      <c r="V120" s="75"/>
      <c r="W120" s="75"/>
    </row>
    <row r="121" spans="1:23" ht="15">
      <c r="A121" s="75"/>
      <c r="B121" s="75"/>
      <c r="C121" s="75"/>
      <c r="D121" s="75"/>
      <c r="E121" s="75"/>
      <c r="F121" s="117" t="s">
        <v>40</v>
      </c>
      <c r="G121" s="119" t="s">
        <v>0</v>
      </c>
      <c r="H121" s="119" t="s">
        <v>3</v>
      </c>
      <c r="I121" s="120">
        <v>346747</v>
      </c>
      <c r="J121" s="75"/>
      <c r="K121" s="75"/>
      <c r="L121" s="82" t="s">
        <v>200</v>
      </c>
      <c r="M121" s="83" t="s">
        <v>0</v>
      </c>
      <c r="N121" s="83" t="s">
        <v>3</v>
      </c>
      <c r="O121" s="84">
        <v>282398</v>
      </c>
      <c r="P121" s="75"/>
      <c r="Q121" s="75"/>
      <c r="R121" s="75"/>
      <c r="S121" s="75"/>
      <c r="T121" s="75"/>
      <c r="U121" s="75"/>
      <c r="V121" s="75"/>
      <c r="W121" s="75"/>
    </row>
    <row r="122" spans="1:23" ht="15">
      <c r="A122" s="75"/>
      <c r="B122" s="75"/>
      <c r="C122" s="75"/>
      <c r="D122" s="75"/>
      <c r="E122" s="75"/>
      <c r="F122" s="117" t="s">
        <v>41</v>
      </c>
      <c r="G122" s="119" t="s">
        <v>0</v>
      </c>
      <c r="H122" s="119" t="s">
        <v>3</v>
      </c>
      <c r="I122" s="120">
        <v>370398</v>
      </c>
      <c r="J122" s="75"/>
      <c r="K122" s="75"/>
      <c r="L122" s="82" t="s">
        <v>201</v>
      </c>
      <c r="M122" s="83" t="s">
        <v>0</v>
      </c>
      <c r="N122" s="83" t="s">
        <v>3</v>
      </c>
      <c r="O122" s="84">
        <v>304124</v>
      </c>
      <c r="P122" s="75"/>
      <c r="Q122" s="75"/>
      <c r="R122" s="75"/>
      <c r="S122" s="75"/>
      <c r="T122" s="75"/>
      <c r="U122" s="75"/>
      <c r="V122" s="75"/>
      <c r="W122" s="75"/>
    </row>
    <row r="123" spans="1:23" ht="15">
      <c r="A123" s="75"/>
      <c r="B123" s="75"/>
      <c r="C123" s="75"/>
      <c r="D123" s="75"/>
      <c r="E123" s="75"/>
      <c r="F123" s="117" t="s">
        <v>42</v>
      </c>
      <c r="G123" s="119" t="s">
        <v>0</v>
      </c>
      <c r="H123" s="119" t="s">
        <v>3</v>
      </c>
      <c r="I123" s="120">
        <v>407974</v>
      </c>
      <c r="J123" s="75"/>
      <c r="K123" s="75"/>
      <c r="L123" s="82" t="s">
        <v>202</v>
      </c>
      <c r="M123" s="83" t="s">
        <v>0</v>
      </c>
      <c r="N123" s="83" t="s">
        <v>3</v>
      </c>
      <c r="O123" s="84">
        <v>314834</v>
      </c>
      <c r="P123" s="75"/>
      <c r="Q123" s="75"/>
      <c r="R123" s="75"/>
      <c r="S123" s="75"/>
      <c r="T123" s="75"/>
      <c r="U123" s="75"/>
      <c r="V123" s="75"/>
      <c r="W123" s="75"/>
    </row>
    <row r="124" spans="1:23" ht="15">
      <c r="A124" s="75"/>
      <c r="B124" s="75"/>
      <c r="C124" s="75"/>
      <c r="D124" s="75"/>
      <c r="E124" s="75"/>
      <c r="F124" s="117" t="s">
        <v>43</v>
      </c>
      <c r="G124" s="119" t="s">
        <v>0</v>
      </c>
      <c r="H124" s="119" t="s">
        <v>3</v>
      </c>
      <c r="I124" s="120">
        <v>1219826</v>
      </c>
      <c r="J124" s="75"/>
      <c r="K124" s="75"/>
      <c r="L124" s="82" t="s">
        <v>203</v>
      </c>
      <c r="M124" s="83" t="s">
        <v>0</v>
      </c>
      <c r="N124" s="83" t="s">
        <v>3</v>
      </c>
      <c r="O124" s="84">
        <v>332582</v>
      </c>
      <c r="P124" s="75"/>
      <c r="Q124" s="75"/>
      <c r="R124" s="75"/>
      <c r="S124" s="75"/>
      <c r="T124" s="75"/>
      <c r="U124" s="75"/>
      <c r="V124" s="75"/>
      <c r="W124" s="75"/>
    </row>
    <row r="125" spans="1:23" ht="1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82" t="s">
        <v>204</v>
      </c>
      <c r="M125" s="83" t="s">
        <v>0</v>
      </c>
      <c r="N125" s="83" t="s">
        <v>3</v>
      </c>
      <c r="O125" s="84">
        <v>364406</v>
      </c>
      <c r="P125" s="75"/>
      <c r="Q125" s="75"/>
      <c r="R125" s="75"/>
      <c r="S125" s="75"/>
      <c r="T125" s="75"/>
      <c r="U125" s="75"/>
      <c r="V125" s="75"/>
      <c r="W125" s="75"/>
    </row>
    <row r="126" spans="1:23" ht="1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82" t="s">
        <v>205</v>
      </c>
      <c r="M126" s="83" t="s">
        <v>0</v>
      </c>
      <c r="N126" s="83" t="s">
        <v>3</v>
      </c>
      <c r="O126" s="84">
        <v>421628</v>
      </c>
      <c r="P126" s="75"/>
      <c r="Q126" s="75"/>
      <c r="R126" s="75"/>
      <c r="S126" s="75"/>
      <c r="T126" s="75"/>
      <c r="U126" s="75"/>
      <c r="V126" s="75"/>
      <c r="W126" s="75"/>
    </row>
    <row r="127" spans="1:23" ht="1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82" t="s">
        <v>206</v>
      </c>
      <c r="M127" s="83" t="s">
        <v>0</v>
      </c>
      <c r="N127" s="83" t="s">
        <v>3</v>
      </c>
      <c r="O127" s="84">
        <v>578535</v>
      </c>
      <c r="P127" s="75"/>
      <c r="Q127" s="75"/>
      <c r="R127" s="75"/>
      <c r="S127" s="75"/>
      <c r="T127" s="75"/>
      <c r="U127" s="75"/>
      <c r="V127" s="75"/>
      <c r="W127" s="75"/>
    </row>
    <row r="128" spans="1:23" ht="1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82" t="s">
        <v>207</v>
      </c>
      <c r="M128" s="83" t="s">
        <v>0</v>
      </c>
      <c r="N128" s="83" t="s">
        <v>3</v>
      </c>
      <c r="O128" s="84">
        <v>678118</v>
      </c>
      <c r="P128" s="75"/>
      <c r="Q128" s="75"/>
      <c r="R128" s="75"/>
      <c r="S128" s="75"/>
      <c r="T128" s="75"/>
      <c r="U128" s="75"/>
      <c r="V128" s="75"/>
      <c r="W128" s="75"/>
    </row>
    <row r="129" spans="1:23" ht="1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82" t="s">
        <v>208</v>
      </c>
      <c r="M129" s="83" t="s">
        <v>0</v>
      </c>
      <c r="N129" s="83" t="s">
        <v>3</v>
      </c>
      <c r="O129" s="84">
        <v>266560</v>
      </c>
      <c r="P129" s="75"/>
      <c r="Q129" s="75"/>
      <c r="R129" s="75"/>
      <c r="S129" s="75"/>
      <c r="T129" s="75"/>
      <c r="U129" s="75"/>
      <c r="V129" s="75"/>
      <c r="W129" s="75"/>
    </row>
    <row r="130" spans="1:23" ht="1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82" t="s">
        <v>209</v>
      </c>
      <c r="M130" s="83" t="s">
        <v>0</v>
      </c>
      <c r="N130" s="83" t="s">
        <v>3</v>
      </c>
      <c r="O130" s="84">
        <v>302632</v>
      </c>
      <c r="P130" s="75"/>
      <c r="Q130" s="75"/>
      <c r="R130" s="75"/>
      <c r="S130" s="75"/>
      <c r="T130" s="75"/>
      <c r="U130" s="75"/>
      <c r="V130" s="75"/>
      <c r="W130" s="75"/>
    </row>
    <row r="131" spans="1:22" ht="1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82" t="s">
        <v>210</v>
      </c>
      <c r="M131" s="83" t="s">
        <v>0</v>
      </c>
      <c r="N131" s="83" t="s">
        <v>3</v>
      </c>
      <c r="O131" s="84">
        <v>346693</v>
      </c>
      <c r="P131" s="72"/>
      <c r="Q131" s="72"/>
      <c r="R131" s="72"/>
      <c r="S131" s="72"/>
      <c r="T131" s="72"/>
      <c r="U131" s="72"/>
      <c r="V131" s="72"/>
    </row>
    <row r="132" spans="1:22" ht="1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82" t="s">
        <v>211</v>
      </c>
      <c r="M132" s="83" t="s">
        <v>0</v>
      </c>
      <c r="N132" s="83" t="s">
        <v>3</v>
      </c>
      <c r="O132" s="84">
        <v>366023</v>
      </c>
      <c r="P132" s="72"/>
      <c r="Q132" s="72"/>
      <c r="R132" s="72"/>
      <c r="S132" s="72"/>
      <c r="T132" s="72"/>
      <c r="U132" s="72"/>
      <c r="V132" s="72"/>
    </row>
    <row r="133" spans="1:22" ht="1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82" t="s">
        <v>212</v>
      </c>
      <c r="M133" s="83" t="s">
        <v>0</v>
      </c>
      <c r="N133" s="83" t="s">
        <v>3</v>
      </c>
      <c r="O133" s="84">
        <v>463780</v>
      </c>
      <c r="P133" s="72"/>
      <c r="Q133" s="72"/>
      <c r="R133" s="72"/>
      <c r="S133" s="72"/>
      <c r="T133" s="72"/>
      <c r="U133" s="72"/>
      <c r="V133" s="72"/>
    </row>
    <row r="134" spans="1:22" ht="1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82" t="s">
        <v>213</v>
      </c>
      <c r="M134" s="83" t="s">
        <v>0</v>
      </c>
      <c r="N134" s="83" t="s">
        <v>3</v>
      </c>
      <c r="O134" s="84">
        <v>489956</v>
      </c>
      <c r="P134" s="72"/>
      <c r="Q134" s="72"/>
      <c r="R134" s="72"/>
      <c r="S134" s="72"/>
      <c r="T134" s="72"/>
      <c r="U134" s="72"/>
      <c r="V134" s="72"/>
    </row>
    <row r="135" spans="1:22" ht="1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82" t="s">
        <v>214</v>
      </c>
      <c r="M135" s="83" t="s">
        <v>0</v>
      </c>
      <c r="N135" s="83" t="s">
        <v>3</v>
      </c>
      <c r="O135" s="84">
        <v>579577</v>
      </c>
      <c r="P135" s="72"/>
      <c r="Q135" s="72"/>
      <c r="R135" s="72"/>
      <c r="S135" s="72"/>
      <c r="T135" s="72"/>
      <c r="U135" s="72"/>
      <c r="V135" s="72"/>
    </row>
    <row r="136" spans="1:22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82" t="s">
        <v>215</v>
      </c>
      <c r="M136" s="83" t="s">
        <v>0</v>
      </c>
      <c r="N136" s="83" t="s">
        <v>3</v>
      </c>
      <c r="O136" s="84">
        <v>731091</v>
      </c>
      <c r="P136" s="72"/>
      <c r="Q136" s="72"/>
      <c r="R136" s="72"/>
      <c r="S136" s="72"/>
      <c r="T136" s="72"/>
      <c r="U136" s="72"/>
      <c r="V136" s="72"/>
    </row>
    <row r="137" spans="1:22" ht="1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82" t="s">
        <v>216</v>
      </c>
      <c r="M137" s="83" t="s">
        <v>0</v>
      </c>
      <c r="N137" s="83" t="s">
        <v>3</v>
      </c>
      <c r="O137" s="84">
        <v>873446</v>
      </c>
      <c r="P137" s="72"/>
      <c r="Q137" s="72"/>
      <c r="R137" s="72"/>
      <c r="S137" s="72"/>
      <c r="T137" s="72"/>
      <c r="U137" s="72"/>
      <c r="V137" s="72"/>
    </row>
    <row r="138" spans="1:22" ht="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82" t="s">
        <v>217</v>
      </c>
      <c r="M138" s="83" t="s">
        <v>0</v>
      </c>
      <c r="N138" s="83" t="s">
        <v>3</v>
      </c>
      <c r="O138" s="84">
        <v>1027642</v>
      </c>
      <c r="P138" s="72"/>
      <c r="Q138" s="72"/>
      <c r="R138" s="72"/>
      <c r="S138" s="72"/>
      <c r="T138" s="72"/>
      <c r="U138" s="72"/>
      <c r="V138" s="72"/>
    </row>
    <row r="139" spans="1:22" ht="1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82" t="s">
        <v>218</v>
      </c>
      <c r="M139" s="83" t="s">
        <v>0</v>
      </c>
      <c r="N139" s="83" t="s">
        <v>3</v>
      </c>
      <c r="O139" s="84">
        <v>1227194</v>
      </c>
      <c r="P139" s="72"/>
      <c r="Q139" s="72"/>
      <c r="R139" s="72"/>
      <c r="S139" s="72"/>
      <c r="T139" s="72"/>
      <c r="U139" s="72"/>
      <c r="V139" s="72"/>
    </row>
    <row r="140" spans="1:22" ht="1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127" t="s">
        <v>289</v>
      </c>
      <c r="M140" s="83" t="s">
        <v>0</v>
      </c>
      <c r="N140" s="83" t="s">
        <v>3</v>
      </c>
      <c r="O140" s="84">
        <v>611920</v>
      </c>
      <c r="P140" s="72"/>
      <c r="Q140" s="72"/>
      <c r="R140" s="72"/>
      <c r="S140" s="72"/>
      <c r="T140" s="72"/>
      <c r="U140" s="72"/>
      <c r="V140" s="72"/>
    </row>
    <row r="141" spans="1:22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1:22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ht="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1:22" ht="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1:22" ht="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1:22" ht="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1:22" ht="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1:22" ht="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  <row r="149" spans="1:22" ht="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</row>
    <row r="150" spans="1:22" ht="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1:22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22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22" ht="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1:22" ht="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22" ht="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1:22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1:22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1:22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1:22" ht="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1:22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1:22" ht="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1:22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1:22" ht="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1:22" ht="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1:22" ht="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1:22" ht="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1:22" ht="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1:22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1:22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1:22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1:22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1:22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1:22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1:22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1:22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1:22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1:22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1:22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1:22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1:22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1:22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1:22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1:22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1:22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1:22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1:22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1:22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1:22" ht="1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1:22" ht="1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1:22" ht="1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2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1:22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</row>
    <row r="195" spans="1:22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</row>
    <row r="196" spans="1:22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</row>
    <row r="197" spans="1:22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</row>
    <row r="198" spans="1:22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</row>
    <row r="199" spans="1:22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</row>
    <row r="200" spans="1:22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</row>
    <row r="201" spans="1:22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</row>
    <row r="202" spans="1:22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</row>
    <row r="203" spans="1:22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</row>
    <row r="204" spans="1:22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</row>
    <row r="205" spans="1:22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</row>
    <row r="206" spans="1:22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</row>
    <row r="207" spans="1:22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</row>
    <row r="208" spans="1:22" ht="1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</row>
    <row r="209" spans="1:22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</row>
    <row r="210" spans="1:22" ht="1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</row>
    <row r="211" spans="1:22" ht="1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</row>
    <row r="212" spans="1:22" ht="1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</row>
  </sheetData>
  <sheetProtection sheet="1"/>
  <mergeCells count="32">
    <mergeCell ref="A1:E1"/>
    <mergeCell ref="F1:I1"/>
    <mergeCell ref="L1:O1"/>
    <mergeCell ref="R1:T1"/>
    <mergeCell ref="X1:AG1"/>
    <mergeCell ref="Y34:AA34"/>
    <mergeCell ref="X9:Z9"/>
    <mergeCell ref="X8:Z8"/>
    <mergeCell ref="X2:AG2"/>
    <mergeCell ref="AD16:AG16"/>
    <mergeCell ref="X15:Z15"/>
    <mergeCell ref="X14:Z14"/>
    <mergeCell ref="X16:Z16"/>
    <mergeCell ref="X11:Z11"/>
    <mergeCell ref="X10:Z10"/>
    <mergeCell ref="X12:Z12"/>
    <mergeCell ref="X13:Z13"/>
    <mergeCell ref="X39:AG39"/>
    <mergeCell ref="X40:AG40"/>
    <mergeCell ref="AE34:AF34"/>
    <mergeCell ref="X51:AG51"/>
    <mergeCell ref="X41:AG41"/>
    <mergeCell ref="X42:AG42"/>
    <mergeCell ref="X38:AG38"/>
    <mergeCell ref="Y36:AA36"/>
    <mergeCell ref="AD36:AF36"/>
    <mergeCell ref="A60:E60"/>
    <mergeCell ref="F60:I60"/>
    <mergeCell ref="L60:O60"/>
    <mergeCell ref="R60:T60"/>
    <mergeCell ref="X52:AG52"/>
    <mergeCell ref="X53:AG86"/>
  </mergeCells>
  <dataValidations count="9">
    <dataValidation type="list" allowBlank="1" showInputMessage="1" showErrorMessage="1" sqref="F49">
      <formula1>$L$19:$L$22</formula1>
    </dataValidation>
    <dataValidation type="list" allowBlank="1" showInputMessage="1" showErrorMessage="1" sqref="Z21">
      <formula1>$F$61:$F$84</formula1>
    </dataValidation>
    <dataValidation type="list" allowBlank="1" showInputMessage="1" showErrorMessage="1" sqref="Z20">
      <formula1>$F$85:$F$100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19">
      <formula1>$A$61:$A$65</formula1>
    </dataValidation>
    <dataValidation type="list" allowBlank="1" showInputMessage="1" showErrorMessage="1" sqref="Z24:Z25">
      <formula1>$L$61:$L$95</formula1>
    </dataValidation>
    <dataValidation type="list" allowBlank="1" showInputMessage="1" showErrorMessage="1" sqref="Z22:Z23">
      <formula1>$L$96:$L$140</formula1>
    </dataValidation>
    <dataValidation type="list" allowBlank="1" showInputMessage="1" showErrorMessage="1" sqref="Z26">
      <formula1>$R$61:$R$101</formula1>
    </dataValidation>
    <dataValidation type="list" allowBlank="1" showInputMessage="1" showErrorMessage="1" sqref="Z18">
      <formula1>$A$66:$A$75</formula1>
    </dataValidation>
  </dataValidations>
  <printOptions/>
  <pageMargins left="0.5905511811023623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theme="9" tint="0.5999900102615356"/>
    <pageSetUpPr fitToPage="1"/>
  </sheetPr>
  <dimension ref="A1:AC130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.57421875" style="0" customWidth="1"/>
    <col min="2" max="2" width="8.140625" style="0" customWidth="1"/>
    <col min="3" max="3" width="22.7109375" style="0" customWidth="1"/>
    <col min="4" max="4" width="23.28125" style="0" customWidth="1"/>
    <col min="5" max="5" width="7.140625" style="0" customWidth="1"/>
    <col min="6" max="6" width="9.8515625" style="0" customWidth="1"/>
    <col min="7" max="7" width="1.57421875" style="0" hidden="1" customWidth="1"/>
    <col min="8" max="8" width="0.71875" style="0" hidden="1" customWidth="1"/>
    <col min="9" max="9" width="6.57421875" style="0" customWidth="1"/>
    <col min="10" max="10" width="6.421875" style="0" customWidth="1"/>
    <col min="11" max="11" width="4.7109375" style="0" customWidth="1"/>
    <col min="12" max="12" width="2.421875" style="0" hidden="1" customWidth="1"/>
    <col min="13" max="13" width="2.57421875" style="0" hidden="1" customWidth="1"/>
    <col min="14" max="14" width="0.9921875" style="0" customWidth="1"/>
    <col min="15" max="15" width="6.421875" style="0" customWidth="1"/>
    <col min="16" max="16" width="5.8515625" style="0" customWidth="1"/>
    <col min="17" max="17" width="3.7109375" style="0" customWidth="1"/>
    <col min="18" max="18" width="4.140625" style="0" customWidth="1"/>
    <col min="19" max="19" width="5.7109375" style="0" customWidth="1"/>
    <col min="20" max="20" width="2.7109375" style="0" customWidth="1"/>
    <col min="21" max="21" width="4.8515625" style="0" customWidth="1"/>
    <col min="23" max="23" width="29.140625" style="0" hidden="1" customWidth="1"/>
    <col min="24" max="24" width="20.57421875" style="0" hidden="1" customWidth="1"/>
    <col min="25" max="25" width="16.140625" style="0" hidden="1" customWidth="1"/>
    <col min="26" max="27" width="9.140625" style="0" hidden="1" customWidth="1"/>
    <col min="28" max="29" width="9.140625" style="0" customWidth="1"/>
  </cols>
  <sheetData>
    <row r="1" spans="1:18" ht="15.75">
      <c r="A1" s="164" t="s">
        <v>292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52"/>
      <c r="O1" s="50"/>
      <c r="P1" s="50"/>
      <c r="Q1" s="2"/>
      <c r="R1" s="2"/>
    </row>
    <row r="2" spans="1:18" ht="24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52"/>
      <c r="O2" s="51"/>
      <c r="P2" s="51"/>
      <c r="Q2" s="2"/>
      <c r="R2" s="2"/>
    </row>
    <row r="3" spans="1:18" ht="15">
      <c r="A3" s="10"/>
      <c r="B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"/>
      <c r="O3" s="2"/>
      <c r="P3" s="2"/>
      <c r="Q3" s="2"/>
      <c r="R3" s="2"/>
    </row>
    <row r="4" spans="1:18" ht="15">
      <c r="A4" s="26" t="s">
        <v>55</v>
      </c>
      <c r="B4" s="26"/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  <c r="O4" s="2"/>
      <c r="P4" s="2"/>
      <c r="Q4" s="2"/>
      <c r="R4" s="2"/>
    </row>
    <row r="5" spans="1:18" ht="15">
      <c r="A5" s="26" t="s">
        <v>56</v>
      </c>
      <c r="B5" s="26"/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5"/>
      <c r="O5" s="2"/>
      <c r="P5" s="2"/>
      <c r="Q5" s="2"/>
      <c r="R5" s="2"/>
    </row>
    <row r="6" spans="1:18" ht="15">
      <c r="A6" s="26" t="s">
        <v>57</v>
      </c>
      <c r="B6" s="26"/>
      <c r="C6" s="27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2"/>
      <c r="P6" s="2"/>
      <c r="Q6" s="2"/>
      <c r="R6" s="2"/>
    </row>
    <row r="7" spans="1:18" ht="15">
      <c r="A7" s="59"/>
      <c r="B7" s="5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"/>
      <c r="O7" s="2"/>
      <c r="P7" s="2"/>
      <c r="Q7" s="2"/>
      <c r="R7" s="2"/>
    </row>
    <row r="8" spans="1:18" ht="15">
      <c r="A8" s="10" t="s">
        <v>97</v>
      </c>
      <c r="B8" s="10"/>
      <c r="C8" s="10"/>
      <c r="D8" s="53"/>
      <c r="E8" s="10" t="s">
        <v>94</v>
      </c>
      <c r="F8" s="10"/>
      <c r="G8" s="10"/>
      <c r="H8" s="10"/>
      <c r="I8" s="10"/>
      <c r="J8" s="10"/>
      <c r="K8" s="10"/>
      <c r="L8" s="10"/>
      <c r="M8" s="5"/>
      <c r="N8" s="5"/>
      <c r="O8" s="2"/>
      <c r="P8" s="2"/>
      <c r="Q8" s="2"/>
      <c r="R8" s="2"/>
    </row>
    <row r="9" spans="1:18" ht="15">
      <c r="A9" s="160" t="s">
        <v>19</v>
      </c>
      <c r="B9" s="160"/>
      <c r="C9" s="160"/>
      <c r="D9" s="66">
        <v>0</v>
      </c>
      <c r="E9" s="12" t="s">
        <v>20</v>
      </c>
      <c r="F9" s="10"/>
      <c r="G9" s="10"/>
      <c r="H9" s="10"/>
      <c r="I9" s="10"/>
      <c r="J9" s="10"/>
      <c r="K9" s="10"/>
      <c r="L9" s="10"/>
      <c r="M9" s="5"/>
      <c r="N9" s="5"/>
      <c r="O9" s="2"/>
      <c r="P9" s="2"/>
      <c r="Q9" s="2"/>
      <c r="R9" s="2"/>
    </row>
    <row r="10" spans="1:18" ht="15">
      <c r="A10" s="159" t="s">
        <v>71</v>
      </c>
      <c r="B10" s="159"/>
      <c r="C10" s="159"/>
      <c r="D10" s="66">
        <v>0</v>
      </c>
      <c r="E10" s="12" t="s">
        <v>20</v>
      </c>
      <c r="F10" s="10"/>
      <c r="G10" s="10"/>
      <c r="H10" s="10"/>
      <c r="I10" s="10"/>
      <c r="J10" s="10"/>
      <c r="K10" s="10"/>
      <c r="L10" s="10"/>
      <c r="M10" s="5"/>
      <c r="N10" s="5"/>
      <c r="O10" s="2"/>
      <c r="P10" s="2"/>
      <c r="Q10" s="2"/>
      <c r="R10" s="2"/>
    </row>
    <row r="11" spans="1:18" ht="14.25" customHeight="1">
      <c r="A11" s="160" t="s">
        <v>81</v>
      </c>
      <c r="B11" s="160"/>
      <c r="C11" s="160"/>
      <c r="D11" s="53">
        <v>1</v>
      </c>
      <c r="E11" s="10"/>
      <c r="F11" s="10"/>
      <c r="G11" s="10"/>
      <c r="H11" s="10"/>
      <c r="I11" s="10"/>
      <c r="J11" s="10"/>
      <c r="K11" s="10"/>
      <c r="L11" s="10"/>
      <c r="M11" s="5"/>
      <c r="N11" s="5"/>
      <c r="O11" s="2"/>
      <c r="P11" s="2"/>
      <c r="Q11" s="2"/>
      <c r="R11" s="2"/>
    </row>
    <row r="12" spans="1:18" ht="31.5" customHeight="1">
      <c r="A12" s="10"/>
      <c r="B12" s="10"/>
      <c r="C12" s="10"/>
      <c r="D12" s="5"/>
      <c r="E12" s="10"/>
      <c r="F12" s="161" t="s">
        <v>119</v>
      </c>
      <c r="G12" s="154"/>
      <c r="H12" s="154"/>
      <c r="I12" s="154"/>
      <c r="J12" s="154"/>
      <c r="K12" s="154"/>
      <c r="L12" s="154"/>
      <c r="M12" s="57"/>
      <c r="N12" s="5"/>
      <c r="O12" s="2"/>
      <c r="P12" s="2"/>
      <c r="Q12" s="2"/>
      <c r="R12" s="2"/>
    </row>
    <row r="13" spans="1:18" ht="15">
      <c r="A13" s="60" t="s">
        <v>76</v>
      </c>
      <c r="B13" s="60"/>
      <c r="C13" s="60"/>
      <c r="D13" s="5"/>
      <c r="E13" s="10"/>
      <c r="F13" s="10"/>
      <c r="G13" s="10"/>
      <c r="H13" s="10"/>
      <c r="I13" s="10"/>
      <c r="J13" s="10"/>
      <c r="K13" s="10"/>
      <c r="L13" s="10"/>
      <c r="M13" s="5"/>
      <c r="N13" s="5"/>
      <c r="O13" s="2"/>
      <c r="P13" s="2"/>
      <c r="Q13" s="2"/>
      <c r="R13" s="2"/>
    </row>
    <row r="14" spans="1:18" ht="15">
      <c r="A14" s="10"/>
      <c r="B14" s="10" t="s">
        <v>91</v>
      </c>
      <c r="C14" s="10"/>
      <c r="D14" s="135" t="s">
        <v>24</v>
      </c>
      <c r="E14" s="61">
        <f>VLOOKUP(D14,X57:Y61,2)</f>
        <v>0</v>
      </c>
      <c r="F14" s="10" t="s">
        <v>17</v>
      </c>
      <c r="G14" s="10"/>
      <c r="H14" s="168">
        <f>E14*(D9-D10)</f>
        <v>0</v>
      </c>
      <c r="I14" s="169"/>
      <c r="J14" s="169"/>
      <c r="K14" s="62" t="s">
        <v>50</v>
      </c>
      <c r="L14" s="10"/>
      <c r="M14" s="5"/>
      <c r="N14" s="5"/>
      <c r="O14" s="2"/>
      <c r="P14" s="2"/>
      <c r="Q14" s="2"/>
      <c r="R14" s="2"/>
    </row>
    <row r="15" spans="1:18" ht="15">
      <c r="A15" s="10"/>
      <c r="B15" s="10" t="s">
        <v>92</v>
      </c>
      <c r="C15" s="10"/>
      <c r="D15" s="135" t="s">
        <v>24</v>
      </c>
      <c r="E15" s="61">
        <f>VLOOKUP(D15,X62:Y66,2)</f>
        <v>0</v>
      </c>
      <c r="F15" s="10" t="s">
        <v>17</v>
      </c>
      <c r="G15" s="10"/>
      <c r="H15" s="168">
        <f>E15*(D9-D10)</f>
        <v>0</v>
      </c>
      <c r="I15" s="169"/>
      <c r="J15" s="169"/>
      <c r="K15" s="62" t="s">
        <v>50</v>
      </c>
      <c r="L15" s="10"/>
      <c r="M15" s="5"/>
      <c r="N15" s="5"/>
      <c r="O15" s="2"/>
      <c r="P15" s="2"/>
      <c r="Q15" s="2"/>
      <c r="R15" s="2"/>
    </row>
    <row r="16" spans="1:18" ht="15">
      <c r="A16" s="60" t="s">
        <v>77</v>
      </c>
      <c r="B16" s="60"/>
      <c r="C16" s="10"/>
      <c r="D16" s="136"/>
      <c r="E16" s="61"/>
      <c r="F16" s="10"/>
      <c r="G16" s="10"/>
      <c r="H16" s="58"/>
      <c r="I16" s="62"/>
      <c r="J16" s="62"/>
      <c r="K16" s="62"/>
      <c r="L16" s="10"/>
      <c r="M16" s="5"/>
      <c r="N16" s="5"/>
      <c r="O16" s="2"/>
      <c r="P16" s="2"/>
      <c r="Q16" s="2"/>
      <c r="R16" s="2"/>
    </row>
    <row r="17" spans="1:18" ht="15">
      <c r="A17" s="10"/>
      <c r="B17" s="10" t="s">
        <v>91</v>
      </c>
      <c r="C17" s="10"/>
      <c r="D17" s="135" t="s">
        <v>24</v>
      </c>
      <c r="E17" s="61">
        <f>VLOOKUP(D17,W69:X70,2)</f>
        <v>0</v>
      </c>
      <c r="F17" s="10" t="s">
        <v>17</v>
      </c>
      <c r="G17" s="10"/>
      <c r="H17" s="168">
        <f>E17*(D9-D10)*D11*D8</f>
        <v>0</v>
      </c>
      <c r="I17" s="169"/>
      <c r="J17" s="169"/>
      <c r="K17" s="62" t="s">
        <v>50</v>
      </c>
      <c r="L17" s="10"/>
      <c r="M17" s="5"/>
      <c r="N17" s="5"/>
      <c r="O17" s="2"/>
      <c r="P17" s="2"/>
      <c r="Q17" s="2"/>
      <c r="R17" s="2"/>
    </row>
    <row r="18" spans="1:18" ht="15">
      <c r="A18" s="10"/>
      <c r="B18" s="10" t="s">
        <v>92</v>
      </c>
      <c r="C18" s="10"/>
      <c r="D18" s="135" t="s">
        <v>24</v>
      </c>
      <c r="E18" s="61">
        <f>VLOOKUP(D18,W71:X72,2)</f>
        <v>0</v>
      </c>
      <c r="F18" s="10" t="s">
        <v>17</v>
      </c>
      <c r="G18" s="10"/>
      <c r="H18" s="168">
        <f>E18*(D9-D10)*D11*D8</f>
        <v>0</v>
      </c>
      <c r="I18" s="169"/>
      <c r="J18" s="169"/>
      <c r="K18" s="62" t="s">
        <v>50</v>
      </c>
      <c r="L18" s="10"/>
      <c r="M18" s="5"/>
      <c r="N18" s="5"/>
      <c r="O18" s="2"/>
      <c r="P18" s="2"/>
      <c r="Q18" s="2"/>
      <c r="R18" s="2"/>
    </row>
    <row r="19" spans="1:18" ht="15">
      <c r="A19" s="60" t="s">
        <v>78</v>
      </c>
      <c r="B19" s="60"/>
      <c r="C19" s="60"/>
      <c r="D19" s="136"/>
      <c r="E19" s="61"/>
      <c r="F19" s="10"/>
      <c r="G19" s="10"/>
      <c r="H19" s="58"/>
      <c r="I19" s="62"/>
      <c r="J19" s="62"/>
      <c r="K19" s="62"/>
      <c r="L19" s="10"/>
      <c r="M19" s="5"/>
      <c r="N19" s="5"/>
      <c r="O19" s="2"/>
      <c r="P19" s="2"/>
      <c r="Q19" s="2"/>
      <c r="R19" s="2"/>
    </row>
    <row r="20" spans="1:18" ht="15">
      <c r="A20" s="10"/>
      <c r="B20" s="10" t="s">
        <v>91</v>
      </c>
      <c r="C20" s="10"/>
      <c r="D20" s="135" t="s">
        <v>24</v>
      </c>
      <c r="E20" s="61">
        <f>VLOOKUP(D20,W75:X76,2)</f>
        <v>0</v>
      </c>
      <c r="F20" s="10" t="s">
        <v>17</v>
      </c>
      <c r="G20" s="10"/>
      <c r="H20" s="168">
        <f>(D9-D10)*E20*D11*D8</f>
        <v>0</v>
      </c>
      <c r="I20" s="169"/>
      <c r="J20" s="169"/>
      <c r="K20" s="62" t="s">
        <v>50</v>
      </c>
      <c r="L20" s="10"/>
      <c r="M20" s="5"/>
      <c r="N20" s="5"/>
      <c r="O20" s="2"/>
      <c r="P20" s="2"/>
      <c r="Q20" s="2"/>
      <c r="R20" s="2"/>
    </row>
    <row r="21" spans="1:18" ht="15">
      <c r="A21" s="10"/>
      <c r="B21" s="10" t="s">
        <v>92</v>
      </c>
      <c r="C21" s="10"/>
      <c r="D21" s="135" t="s">
        <v>24</v>
      </c>
      <c r="E21" s="61">
        <f>VLOOKUP(D21,W77:X78,2)</f>
        <v>0</v>
      </c>
      <c r="F21" s="10" t="s">
        <v>17</v>
      </c>
      <c r="G21" s="10"/>
      <c r="H21" s="168">
        <f>E21*(D9-D10)*D11*D8</f>
        <v>0</v>
      </c>
      <c r="I21" s="169"/>
      <c r="J21" s="169"/>
      <c r="K21" s="62" t="s">
        <v>50</v>
      </c>
      <c r="L21" s="10"/>
      <c r="M21" s="5"/>
      <c r="N21" s="5"/>
      <c r="O21" s="2"/>
      <c r="P21" s="2"/>
      <c r="Q21" s="2"/>
      <c r="R21" s="2"/>
    </row>
    <row r="22" spans="1:18" ht="27" customHeight="1">
      <c r="A22" s="175" t="s">
        <v>118</v>
      </c>
      <c r="B22" s="176"/>
      <c r="C22" s="176"/>
      <c r="D22" s="135" t="s">
        <v>24</v>
      </c>
      <c r="E22" s="61">
        <f>VLOOKUP(D22,W81:X82,2)</f>
        <v>0</v>
      </c>
      <c r="F22" s="10" t="s">
        <v>17</v>
      </c>
      <c r="G22" s="10"/>
      <c r="H22" s="168">
        <f>E22*(D9-D10)*D8*D11</f>
        <v>0</v>
      </c>
      <c r="I22" s="169"/>
      <c r="J22" s="169"/>
      <c r="K22" s="62" t="s">
        <v>50</v>
      </c>
      <c r="L22" s="10"/>
      <c r="M22" s="5"/>
      <c r="N22" s="5"/>
      <c r="O22" s="2"/>
      <c r="P22" s="2"/>
      <c r="Q22" s="2"/>
      <c r="R22" s="2"/>
    </row>
    <row r="23" spans="1:18" ht="15">
      <c r="A23" s="60" t="s">
        <v>79</v>
      </c>
      <c r="B23" s="60"/>
      <c r="C23" s="60"/>
      <c r="D23" s="136"/>
      <c r="E23" s="61"/>
      <c r="F23" s="10"/>
      <c r="G23" s="10"/>
      <c r="H23" s="58"/>
      <c r="I23" s="62"/>
      <c r="J23" s="62"/>
      <c r="K23" s="62"/>
      <c r="L23" s="10"/>
      <c r="M23" s="5"/>
      <c r="N23" s="5"/>
      <c r="O23" s="2"/>
      <c r="P23" s="2"/>
      <c r="Q23" s="2"/>
      <c r="R23" s="2"/>
    </row>
    <row r="24" spans="1:18" ht="15">
      <c r="A24" s="10"/>
      <c r="B24" s="10" t="s">
        <v>91</v>
      </c>
      <c r="C24" s="10"/>
      <c r="D24" s="135" t="s">
        <v>24</v>
      </c>
      <c r="E24" s="61">
        <f>VLOOKUP(D24,X86:Y90,2)</f>
        <v>0</v>
      </c>
      <c r="F24" s="10" t="s">
        <v>17</v>
      </c>
      <c r="G24" s="10"/>
      <c r="H24" s="168">
        <f>E24*(D9-D10)</f>
        <v>0</v>
      </c>
      <c r="I24" s="169"/>
      <c r="J24" s="169"/>
      <c r="K24" s="62" t="s">
        <v>50</v>
      </c>
      <c r="L24" s="10"/>
      <c r="M24" s="5"/>
      <c r="N24" s="5"/>
      <c r="O24" s="2"/>
      <c r="P24" s="2"/>
      <c r="Q24" s="2"/>
      <c r="R24" s="2"/>
    </row>
    <row r="25" spans="1:18" ht="15">
      <c r="A25" s="10"/>
      <c r="B25" s="10" t="s">
        <v>92</v>
      </c>
      <c r="C25" s="10"/>
      <c r="D25" s="135" t="s">
        <v>24</v>
      </c>
      <c r="E25" s="61">
        <f>VLOOKUP(D25,X91:Y95,2)</f>
        <v>0</v>
      </c>
      <c r="F25" s="10" t="s">
        <v>17</v>
      </c>
      <c r="G25" s="10"/>
      <c r="H25" s="168">
        <f>E25*(D9-D10)</f>
        <v>0</v>
      </c>
      <c r="I25" s="169"/>
      <c r="J25" s="169"/>
      <c r="K25" s="62" t="s">
        <v>50</v>
      </c>
      <c r="L25" s="10"/>
      <c r="M25" s="5"/>
      <c r="N25" s="5"/>
      <c r="O25" s="2"/>
      <c r="P25" s="2"/>
      <c r="Q25" s="2"/>
      <c r="R25" s="2"/>
    </row>
    <row r="26" spans="1:18" ht="44.25" customHeight="1">
      <c r="A26" s="167" t="s">
        <v>158</v>
      </c>
      <c r="B26" s="167"/>
      <c r="C26" s="167"/>
      <c r="D26" s="135"/>
      <c r="E26" s="61"/>
      <c r="F26" s="10"/>
      <c r="G26" s="10"/>
      <c r="H26" s="113"/>
      <c r="I26" s="114"/>
      <c r="J26" s="114"/>
      <c r="K26" s="112"/>
      <c r="L26" s="10"/>
      <c r="M26" s="5"/>
      <c r="N26" s="5"/>
      <c r="O26" s="2"/>
      <c r="P26" s="2"/>
      <c r="Q26" s="2"/>
      <c r="R26" s="2"/>
    </row>
    <row r="27" spans="1:18" ht="15">
      <c r="A27" s="10"/>
      <c r="B27" s="10" t="s">
        <v>91</v>
      </c>
      <c r="C27" s="10"/>
      <c r="D27" s="135" t="s">
        <v>24</v>
      </c>
      <c r="E27" s="61">
        <f>VLOOKUP(D27,X112:Y116,2)</f>
        <v>0</v>
      </c>
      <c r="F27" s="10"/>
      <c r="G27" s="10"/>
      <c r="H27" s="134"/>
      <c r="I27" s="134"/>
      <c r="J27" s="134">
        <f>(D9-D10)*E27</f>
        <v>0</v>
      </c>
      <c r="K27" s="134" t="s">
        <v>300</v>
      </c>
      <c r="L27" s="10"/>
      <c r="M27" s="5"/>
      <c r="N27" s="5"/>
      <c r="O27" s="2"/>
      <c r="P27" s="2"/>
      <c r="Q27" s="2"/>
      <c r="R27" s="2"/>
    </row>
    <row r="28" spans="1:18" ht="15">
      <c r="A28" s="10"/>
      <c r="B28" s="10" t="s">
        <v>92</v>
      </c>
      <c r="C28" s="10"/>
      <c r="D28" s="135" t="s">
        <v>24</v>
      </c>
      <c r="E28" s="61">
        <f>VLOOKUP(D28,X117:Y121,2)</f>
        <v>0</v>
      </c>
      <c r="F28" s="10"/>
      <c r="G28" s="10"/>
      <c r="H28" s="134"/>
      <c r="I28" s="134"/>
      <c r="J28" s="134">
        <f>(D9-D10)*E28</f>
        <v>0</v>
      </c>
      <c r="K28" s="134" t="s">
        <v>300</v>
      </c>
      <c r="L28" s="10"/>
      <c r="M28" s="5"/>
      <c r="N28" s="5"/>
      <c r="O28" s="2"/>
      <c r="P28" s="2"/>
      <c r="Q28" s="2"/>
      <c r="R28" s="2"/>
    </row>
    <row r="29" spans="1:18" ht="15">
      <c r="A29" s="60" t="s">
        <v>80</v>
      </c>
      <c r="B29" s="60"/>
      <c r="C29" s="60"/>
      <c r="D29" s="136" t="s">
        <v>24</v>
      </c>
      <c r="E29" s="61"/>
      <c r="F29" s="10"/>
      <c r="G29" s="10"/>
      <c r="H29" s="133"/>
      <c r="I29" s="133"/>
      <c r="J29" s="133"/>
      <c r="K29" s="133"/>
      <c r="L29" s="10"/>
      <c r="M29" s="5"/>
      <c r="N29" s="5"/>
      <c r="O29" s="2"/>
      <c r="P29" s="2"/>
      <c r="Q29" s="2"/>
      <c r="R29" s="2"/>
    </row>
    <row r="30" spans="1:18" ht="15">
      <c r="A30" s="60" t="s">
        <v>93</v>
      </c>
      <c r="B30" s="60"/>
      <c r="C30" s="60"/>
      <c r="D30" s="136"/>
      <c r="E30" s="61"/>
      <c r="F30" s="10"/>
      <c r="G30" s="10"/>
      <c r="H30" s="58"/>
      <c r="I30" s="62"/>
      <c r="J30" s="62"/>
      <c r="K30" s="62"/>
      <c r="L30" s="10"/>
      <c r="M30" s="5"/>
      <c r="N30" s="5"/>
      <c r="O30" s="2"/>
      <c r="P30" s="2"/>
      <c r="Q30" s="2"/>
      <c r="R30" s="2"/>
    </row>
    <row r="31" spans="1:18" ht="15">
      <c r="A31" s="10"/>
      <c r="B31" s="10" t="s">
        <v>91</v>
      </c>
      <c r="C31" s="10"/>
      <c r="D31" s="135" t="s">
        <v>24</v>
      </c>
      <c r="E31" s="61">
        <f>VLOOKUP(D31,X99:Y103,2)</f>
        <v>0</v>
      </c>
      <c r="F31" s="10" t="s">
        <v>17</v>
      </c>
      <c r="G31" s="10"/>
      <c r="H31" s="168">
        <f>E31*(D9-D10)</f>
        <v>0</v>
      </c>
      <c r="I31" s="169"/>
      <c r="J31" s="169"/>
      <c r="K31" s="62" t="s">
        <v>50</v>
      </c>
      <c r="L31" s="10"/>
      <c r="M31" s="5"/>
      <c r="N31" s="5"/>
      <c r="O31" s="2"/>
      <c r="P31" s="2"/>
      <c r="Q31" s="2"/>
      <c r="R31" s="2"/>
    </row>
    <row r="32" spans="1:18" ht="15">
      <c r="A32" s="10"/>
      <c r="B32" s="10" t="s">
        <v>92</v>
      </c>
      <c r="C32" s="10"/>
      <c r="D32" s="135" t="s">
        <v>24</v>
      </c>
      <c r="E32" s="61">
        <f>VLOOKUP(D32,X104:Y108,2)</f>
        <v>0</v>
      </c>
      <c r="F32" s="10" t="s">
        <v>17</v>
      </c>
      <c r="G32" s="10"/>
      <c r="H32" s="168">
        <f>E32*(D9-D10)</f>
        <v>0</v>
      </c>
      <c r="I32" s="169"/>
      <c r="J32" s="169"/>
      <c r="K32" s="62" t="s">
        <v>50</v>
      </c>
      <c r="L32" s="10"/>
      <c r="M32" s="5"/>
      <c r="N32" s="5"/>
      <c r="O32" s="2"/>
      <c r="P32" s="2"/>
      <c r="Q32" s="2"/>
      <c r="R32" s="2"/>
    </row>
    <row r="33" spans="1:18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/>
      <c r="N33" s="5"/>
      <c r="O33" s="2"/>
      <c r="P33" s="2"/>
      <c r="Q33" s="2"/>
      <c r="R33" s="2"/>
    </row>
    <row r="34" spans="1:18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/>
      <c r="N34" s="5"/>
      <c r="O34" s="2"/>
      <c r="P34" s="2"/>
      <c r="Q34" s="2"/>
      <c r="R34" s="2"/>
    </row>
    <row r="35" spans="1:18" ht="15">
      <c r="A35" s="10"/>
      <c r="B35" s="10"/>
      <c r="C35" s="60" t="s">
        <v>21</v>
      </c>
      <c r="D35" s="16">
        <f>SUM(H14+H15+H17+H18+H20+H21+H22+H24+H25+H31+H32)</f>
        <v>0</v>
      </c>
      <c r="E35" s="10" t="s">
        <v>23</v>
      </c>
      <c r="F35" s="10"/>
      <c r="G35" s="10"/>
      <c r="H35" s="10"/>
      <c r="I35" s="10"/>
      <c r="J35" s="10"/>
      <c r="K35" s="10"/>
      <c r="L35" s="10"/>
      <c r="M35" s="5"/>
      <c r="N35" s="5"/>
      <c r="O35" s="2"/>
      <c r="P35" s="2"/>
      <c r="Q35" s="2"/>
      <c r="R35" s="2"/>
    </row>
    <row r="36" spans="1:18" ht="15">
      <c r="A36" s="10"/>
      <c r="B36" s="10"/>
      <c r="C36" s="60"/>
      <c r="D36" s="16">
        <f>D37-D35</f>
        <v>0</v>
      </c>
      <c r="E36" s="10" t="s">
        <v>25</v>
      </c>
      <c r="F36" s="10"/>
      <c r="G36" s="10"/>
      <c r="H36" s="10"/>
      <c r="I36" s="10"/>
      <c r="J36" s="10"/>
      <c r="K36" s="10"/>
      <c r="L36" s="10"/>
      <c r="M36" s="5"/>
      <c r="N36" s="5"/>
      <c r="O36" s="2"/>
      <c r="P36" s="2"/>
      <c r="Q36" s="2"/>
      <c r="R36" s="2"/>
    </row>
    <row r="37" spans="1:18" ht="15">
      <c r="A37" s="10"/>
      <c r="B37" s="10"/>
      <c r="C37" s="60"/>
      <c r="D37" s="16">
        <f>ROUND(D35*1.18,2)</f>
        <v>0</v>
      </c>
      <c r="E37" s="10" t="s">
        <v>22</v>
      </c>
      <c r="F37" s="10"/>
      <c r="G37" s="10"/>
      <c r="H37" s="10"/>
      <c r="I37" s="10"/>
      <c r="J37" s="10"/>
      <c r="K37" s="10"/>
      <c r="L37" s="10"/>
      <c r="M37" s="5"/>
      <c r="N37" s="5"/>
      <c r="O37" s="2"/>
      <c r="P37" s="2"/>
      <c r="Q37" s="2"/>
      <c r="R37" s="2"/>
    </row>
    <row r="38" spans="1:29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"/>
      <c r="N38" s="5"/>
      <c r="O38" s="43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4"/>
      <c r="AC38" s="44"/>
    </row>
    <row r="39" spans="1:29" ht="15">
      <c r="A39" s="58"/>
      <c r="B39" s="58"/>
      <c r="C39" s="58"/>
      <c r="D39" s="58"/>
      <c r="E39" s="63"/>
      <c r="F39" s="62"/>
      <c r="G39" s="62"/>
      <c r="H39" s="62"/>
      <c r="I39" s="62"/>
      <c r="J39" s="58"/>
      <c r="K39" s="62"/>
      <c r="L39" s="58"/>
      <c r="M39" s="5"/>
      <c r="N39" s="5"/>
      <c r="O39" s="43"/>
      <c r="P39" s="18"/>
      <c r="Q39" s="18"/>
      <c r="R39" s="18"/>
      <c r="S39" s="18"/>
      <c r="T39" s="54"/>
      <c r="U39" s="43"/>
      <c r="V39" s="43"/>
      <c r="W39" s="43"/>
      <c r="X39" s="43"/>
      <c r="Y39" s="18"/>
      <c r="Z39" s="43"/>
      <c r="AA39" s="49"/>
      <c r="AB39" s="44"/>
      <c r="AC39" s="44"/>
    </row>
    <row r="40" spans="1:29" ht="15">
      <c r="A40" s="53"/>
      <c r="B40" s="170" t="s">
        <v>53</v>
      </c>
      <c r="C40" s="170"/>
      <c r="D40" s="170"/>
      <c r="E40" s="173" t="s">
        <v>52</v>
      </c>
      <c r="F40" s="174"/>
      <c r="G40" s="174"/>
      <c r="H40" s="174"/>
      <c r="I40" s="174"/>
      <c r="J40" s="10"/>
      <c r="K40" s="64"/>
      <c r="L40" s="10"/>
      <c r="M40" s="5"/>
      <c r="N40" s="5"/>
      <c r="O40" s="43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43"/>
      <c r="AA40" s="49"/>
      <c r="AB40" s="44"/>
      <c r="AC40" s="44"/>
    </row>
    <row r="41" spans="1:29" ht="15">
      <c r="A41" s="53"/>
      <c r="B41" s="53"/>
      <c r="C41" s="53"/>
      <c r="D41" s="53"/>
      <c r="E41" s="10"/>
      <c r="F41" s="10"/>
      <c r="G41" s="10"/>
      <c r="H41" s="10"/>
      <c r="I41" s="10"/>
      <c r="J41" s="10"/>
      <c r="K41" s="64"/>
      <c r="L41" s="10"/>
      <c r="M41" s="5"/>
      <c r="N41" s="5"/>
      <c r="O41" s="43"/>
      <c r="P41" s="18"/>
      <c r="Q41" s="18"/>
      <c r="R41" s="18"/>
      <c r="S41" s="18"/>
      <c r="T41" s="54"/>
      <c r="U41" s="54"/>
      <c r="V41" s="43"/>
      <c r="W41" s="43"/>
      <c r="X41" s="43"/>
      <c r="Y41" s="18"/>
      <c r="Z41" s="43"/>
      <c r="AA41" s="49"/>
      <c r="AB41" s="44"/>
      <c r="AC41" s="44"/>
    </row>
    <row r="42" spans="1:29" ht="15">
      <c r="A42" s="53"/>
      <c r="B42" s="170" t="s">
        <v>54</v>
      </c>
      <c r="C42" s="170"/>
      <c r="D42" s="170"/>
      <c r="E42" s="173" t="s">
        <v>63</v>
      </c>
      <c r="F42" s="173"/>
      <c r="G42" s="174"/>
      <c r="H42" s="174"/>
      <c r="I42" s="174"/>
      <c r="J42" s="10"/>
      <c r="K42" s="64"/>
      <c r="L42" s="10"/>
      <c r="M42" s="5"/>
      <c r="N42" s="5"/>
      <c r="O42" s="4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43"/>
      <c r="AA42" s="49"/>
      <c r="AB42" s="44"/>
      <c r="AC42" s="44"/>
    </row>
    <row r="43" spans="1:29" ht="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2"/>
      <c r="L43" s="5"/>
      <c r="M43" s="5"/>
      <c r="N43" s="5"/>
      <c r="O43" s="4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43"/>
      <c r="AA43" s="49"/>
      <c r="AB43" s="44"/>
      <c r="AC43" s="44"/>
    </row>
    <row r="44" spans="1:29" ht="15">
      <c r="A44" s="53"/>
      <c r="B44" s="177" t="s">
        <v>95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5"/>
      <c r="O44" s="43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3"/>
      <c r="AA44" s="49"/>
      <c r="AB44" s="44"/>
      <c r="AC44" s="44"/>
    </row>
    <row r="45" spans="1:29" ht="15">
      <c r="A45" s="10"/>
      <c r="B45" s="177" t="s">
        <v>96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5"/>
      <c r="O45" s="43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49"/>
      <c r="AB45" s="44"/>
      <c r="AC45" s="44"/>
    </row>
    <row r="46" spans="1:29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"/>
      <c r="L46" s="5"/>
      <c r="M46" s="5"/>
      <c r="N46" s="5"/>
      <c r="O46" s="43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3"/>
      <c r="AA46" s="49"/>
      <c r="AB46" s="44"/>
      <c r="AC46" s="44"/>
    </row>
    <row r="47" spans="13:29" ht="15">
      <c r="M47" s="5"/>
      <c r="N47" s="5"/>
      <c r="O47" s="43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3"/>
      <c r="AA47" s="49"/>
      <c r="AB47" s="44"/>
      <c r="AC47" s="44"/>
    </row>
    <row r="48" spans="13:29" ht="15">
      <c r="M48" s="5"/>
      <c r="N48" s="5"/>
      <c r="O48" s="4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43"/>
      <c r="AA48" s="49"/>
      <c r="AB48" s="44"/>
      <c r="AC48" s="44"/>
    </row>
    <row r="49" spans="13:29" ht="15">
      <c r="M49" s="5"/>
      <c r="N49" s="5"/>
      <c r="O49" s="43"/>
      <c r="P49" s="55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44"/>
      <c r="AC49" s="44"/>
    </row>
    <row r="50" spans="13:29" ht="15">
      <c r="M50" s="5"/>
      <c r="N50" s="5"/>
      <c r="O50" s="43"/>
      <c r="P50" s="43"/>
      <c r="Q50" s="43"/>
      <c r="R50" s="43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</row>
    <row r="51" spans="1:29" ht="15">
      <c r="A51" s="171" t="s">
        <v>295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53"/>
      <c r="L51" s="153"/>
      <c r="M51" s="153"/>
      <c r="N51" s="5"/>
      <c r="O51" s="43"/>
      <c r="P51" s="43"/>
      <c r="Q51" s="43"/>
      <c r="R51" s="43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</row>
    <row r="52" spans="1:18" ht="15">
      <c r="A52" s="179" t="s">
        <v>297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5"/>
      <c r="O52" s="2"/>
      <c r="P52" s="2"/>
      <c r="Q52" s="2"/>
      <c r="R52" s="2"/>
    </row>
    <row r="53" spans="1:18" ht="14.2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5"/>
      <c r="O53" s="2"/>
      <c r="P53" s="2"/>
      <c r="Q53" s="2"/>
      <c r="R53" s="2"/>
    </row>
    <row r="54" spans="1:18" ht="1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5"/>
      <c r="O54" s="2"/>
      <c r="P54" s="2"/>
      <c r="Q54" s="2"/>
      <c r="R54" s="2"/>
    </row>
    <row r="55" spans="1:18" ht="1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5"/>
      <c r="O55" s="2"/>
      <c r="P55" s="2"/>
      <c r="Q55" s="2"/>
      <c r="R55" s="2"/>
    </row>
    <row r="56" spans="1:25" ht="1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5"/>
      <c r="O56" s="2"/>
      <c r="P56" s="2"/>
      <c r="Q56" s="2"/>
      <c r="R56" s="2"/>
      <c r="W56" s="154" t="s">
        <v>85</v>
      </c>
      <c r="X56" s="154"/>
      <c r="Y56" s="154"/>
    </row>
    <row r="57" spans="1:25" ht="1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5"/>
      <c r="O57" s="2"/>
      <c r="P57" s="2"/>
      <c r="Q57" s="2"/>
      <c r="R57" s="2"/>
      <c r="W57" s="41"/>
      <c r="X57" s="41" t="s">
        <v>24</v>
      </c>
      <c r="Y57" s="41"/>
    </row>
    <row r="58" spans="1:25" ht="1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2"/>
      <c r="O58" s="2"/>
      <c r="P58" s="2"/>
      <c r="Q58" s="2"/>
      <c r="R58" s="2"/>
      <c r="W58" s="71" t="s">
        <v>82</v>
      </c>
      <c r="X58" t="s">
        <v>115</v>
      </c>
      <c r="Y58" s="46"/>
    </row>
    <row r="59" spans="1:25" ht="1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2"/>
      <c r="O59" s="2"/>
      <c r="P59" s="2"/>
      <c r="Q59" s="2"/>
      <c r="R59" s="2"/>
      <c r="W59" s="71"/>
      <c r="X59" t="s">
        <v>114</v>
      </c>
      <c r="Y59" s="46">
        <v>200.9</v>
      </c>
    </row>
    <row r="60" spans="1:25" ht="1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2"/>
      <c r="O60" s="2"/>
      <c r="P60" s="2"/>
      <c r="Q60" s="2"/>
      <c r="R60" s="2"/>
      <c r="W60" s="71"/>
      <c r="X60" t="s">
        <v>113</v>
      </c>
      <c r="Y60" s="46">
        <v>8.59</v>
      </c>
    </row>
    <row r="61" spans="1:25" ht="1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2"/>
      <c r="O61" s="2"/>
      <c r="P61" s="2"/>
      <c r="Q61" s="2"/>
      <c r="R61" s="2"/>
      <c r="W61" s="71"/>
      <c r="X61" t="s">
        <v>84</v>
      </c>
      <c r="Y61" s="46">
        <v>1.66</v>
      </c>
    </row>
    <row r="62" spans="1:24" ht="1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2"/>
      <c r="O62" s="2"/>
      <c r="P62" s="2"/>
      <c r="Q62" s="2"/>
      <c r="R62" s="2"/>
      <c r="W62" s="41"/>
      <c r="X62" t="s">
        <v>24</v>
      </c>
    </row>
    <row r="63" spans="1:25" ht="1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2"/>
      <c r="O63" s="2"/>
      <c r="P63" s="2"/>
      <c r="Q63" s="2"/>
      <c r="R63" s="2"/>
      <c r="W63" s="71" t="s">
        <v>83</v>
      </c>
      <c r="X63" t="s">
        <v>115</v>
      </c>
      <c r="Y63" s="46"/>
    </row>
    <row r="64" spans="1:25" ht="1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2"/>
      <c r="O64" s="2"/>
      <c r="P64" s="2"/>
      <c r="Q64" s="2"/>
      <c r="R64" s="2"/>
      <c r="W64" s="71"/>
      <c r="X64" t="s">
        <v>114</v>
      </c>
      <c r="Y64" s="46">
        <v>66.08</v>
      </c>
    </row>
    <row r="65" spans="1:25" ht="1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2"/>
      <c r="O65" s="2"/>
      <c r="P65" s="2"/>
      <c r="Q65" s="2"/>
      <c r="R65" s="2"/>
      <c r="W65" s="71"/>
      <c r="X65" t="s">
        <v>113</v>
      </c>
      <c r="Y65" s="46">
        <v>7.32</v>
      </c>
    </row>
    <row r="66" spans="1:25" ht="1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2"/>
      <c r="O66" s="2"/>
      <c r="P66" s="2"/>
      <c r="Q66" s="2"/>
      <c r="R66" s="2"/>
      <c r="W66" s="71"/>
      <c r="X66" t="s">
        <v>84</v>
      </c>
      <c r="Y66" s="46">
        <v>2.42</v>
      </c>
    </row>
    <row r="67" spans="1:18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2"/>
      <c r="O67" s="2"/>
      <c r="P67" s="2"/>
      <c r="Q67" s="2"/>
      <c r="R67" s="2"/>
    </row>
    <row r="68" spans="1:25" ht="1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2"/>
      <c r="O68" s="2"/>
      <c r="P68" s="2"/>
      <c r="Q68" s="2"/>
      <c r="R68" s="2"/>
      <c r="W68" t="s">
        <v>86</v>
      </c>
      <c r="Y68" s="45"/>
    </row>
    <row r="69" spans="1:25" ht="1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2"/>
      <c r="O69" s="2"/>
      <c r="P69" s="2"/>
      <c r="Q69" s="2"/>
      <c r="R69" s="2"/>
      <c r="W69" t="s">
        <v>24</v>
      </c>
      <c r="Y69" s="45"/>
    </row>
    <row r="70" spans="1:25" ht="1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2"/>
      <c r="O70" s="2"/>
      <c r="P70" s="2"/>
      <c r="Q70" s="2"/>
      <c r="R70" s="2"/>
      <c r="W70" t="s">
        <v>116</v>
      </c>
      <c r="X70">
        <v>2420.78</v>
      </c>
      <c r="Y70" s="45"/>
    </row>
    <row r="71" spans="1:25" ht="1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2"/>
      <c r="O71" s="2"/>
      <c r="P71" s="2"/>
      <c r="Q71" s="2"/>
      <c r="R71" s="2"/>
      <c r="W71" t="s">
        <v>24</v>
      </c>
      <c r="Y71" s="45"/>
    </row>
    <row r="72" spans="1:24" ht="1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2"/>
      <c r="O72" s="2"/>
      <c r="P72" s="2"/>
      <c r="Q72" s="2"/>
      <c r="R72" s="2"/>
      <c r="W72" t="s">
        <v>117</v>
      </c>
      <c r="X72">
        <v>3609.26</v>
      </c>
    </row>
    <row r="73" spans="1:18" ht="1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2"/>
      <c r="O73" s="2"/>
      <c r="P73" s="2"/>
      <c r="Q73" s="2"/>
      <c r="R73" s="2"/>
    </row>
    <row r="74" spans="1:23" ht="1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2"/>
      <c r="O74" s="2"/>
      <c r="P74" s="2"/>
      <c r="Q74" s="2"/>
      <c r="R74" s="2"/>
      <c r="W74" t="s">
        <v>87</v>
      </c>
    </row>
    <row r="75" spans="1:23" ht="1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2"/>
      <c r="O75" s="2"/>
      <c r="P75" s="2"/>
      <c r="Q75" s="2"/>
      <c r="R75" s="2"/>
      <c r="W75" t="s">
        <v>24</v>
      </c>
    </row>
    <row r="76" spans="1:24" ht="1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2"/>
      <c r="O76" s="2"/>
      <c r="P76" s="2"/>
      <c r="Q76" s="2"/>
      <c r="R76" s="2"/>
      <c r="W76" t="s">
        <v>116</v>
      </c>
      <c r="X76">
        <v>3506.15</v>
      </c>
    </row>
    <row r="77" spans="1:23" ht="1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2"/>
      <c r="O77" s="2"/>
      <c r="P77" s="2"/>
      <c r="Q77" s="2"/>
      <c r="R77" s="2"/>
      <c r="W77" t="s">
        <v>24</v>
      </c>
    </row>
    <row r="78" spans="1:24" ht="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2"/>
      <c r="L78" s="2"/>
      <c r="M78" s="2"/>
      <c r="N78" s="2"/>
      <c r="O78" s="2"/>
      <c r="P78" s="2"/>
      <c r="Q78" s="2"/>
      <c r="R78" s="2"/>
      <c r="W78" t="s">
        <v>117</v>
      </c>
      <c r="X78">
        <v>3375.05</v>
      </c>
    </row>
    <row r="79" spans="1:18" ht="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2"/>
      <c r="L79" s="2"/>
      <c r="M79" s="2"/>
      <c r="N79" s="2"/>
      <c r="O79" s="2"/>
      <c r="P79" s="2"/>
      <c r="Q79" s="2"/>
      <c r="R79" s="2"/>
    </row>
    <row r="80" spans="1:23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2"/>
      <c r="L80" s="2"/>
      <c r="M80" s="2"/>
      <c r="N80" s="2"/>
      <c r="O80" s="2"/>
      <c r="P80" s="2"/>
      <c r="Q80" s="2"/>
      <c r="R80" s="2"/>
      <c r="W80" t="s">
        <v>88</v>
      </c>
    </row>
    <row r="81" spans="1:23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2"/>
      <c r="L81" s="2"/>
      <c r="M81" s="2"/>
      <c r="N81" s="2"/>
      <c r="O81" s="2"/>
      <c r="P81" s="2"/>
      <c r="Q81" s="2"/>
      <c r="R81" s="2"/>
      <c r="W81" t="s">
        <v>24</v>
      </c>
    </row>
    <row r="82" spans="1:24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2"/>
      <c r="L82" s="2"/>
      <c r="M82" s="2"/>
      <c r="N82" s="2"/>
      <c r="O82" s="2"/>
      <c r="P82" s="2"/>
      <c r="Q82" s="2"/>
      <c r="R82" s="2"/>
      <c r="W82" t="s">
        <v>112</v>
      </c>
      <c r="X82">
        <v>2896.12</v>
      </c>
    </row>
    <row r="83" spans="1:18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2"/>
      <c r="L83" s="2"/>
      <c r="M83" s="2"/>
      <c r="N83" s="2"/>
      <c r="O83" s="2"/>
      <c r="P83" s="2"/>
      <c r="Q83" s="2"/>
      <c r="R83" s="2"/>
    </row>
    <row r="84" spans="1:18" ht="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2"/>
      <c r="L84" s="2"/>
      <c r="M84" s="2"/>
      <c r="N84" s="2"/>
      <c r="O84" s="2"/>
      <c r="P84" s="2"/>
      <c r="Q84" s="2"/>
      <c r="R84" s="2"/>
    </row>
    <row r="85" spans="1:25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2"/>
      <c r="L85" s="2"/>
      <c r="M85" s="2"/>
      <c r="N85" s="2"/>
      <c r="O85" s="2"/>
      <c r="P85" s="2"/>
      <c r="Q85" s="2"/>
      <c r="R85" s="2"/>
      <c r="W85" s="154" t="s">
        <v>89</v>
      </c>
      <c r="X85" s="154"/>
      <c r="Y85" s="154"/>
    </row>
    <row r="86" spans="1:25" ht="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2"/>
      <c r="L86" s="2"/>
      <c r="M86" s="2"/>
      <c r="N86" s="2"/>
      <c r="O86" s="2"/>
      <c r="P86" s="2"/>
      <c r="Q86" s="2"/>
      <c r="R86" s="2"/>
      <c r="W86" s="41"/>
      <c r="X86" s="41" t="s">
        <v>24</v>
      </c>
      <c r="Y86" s="41"/>
    </row>
    <row r="87" spans="1:25" ht="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2"/>
      <c r="L87" s="2"/>
      <c r="M87" s="2"/>
      <c r="N87" s="2"/>
      <c r="O87" s="2"/>
      <c r="P87" s="2"/>
      <c r="Q87" s="2"/>
      <c r="R87" s="2"/>
      <c r="W87" s="154" t="s">
        <v>82</v>
      </c>
      <c r="X87" s="46" t="s">
        <v>115</v>
      </c>
      <c r="Y87" s="46"/>
    </row>
    <row r="88" spans="1:25" ht="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2"/>
      <c r="L88" s="2"/>
      <c r="M88" s="2"/>
      <c r="N88" s="2"/>
      <c r="O88" s="2"/>
      <c r="P88" s="2"/>
      <c r="Q88" s="2"/>
      <c r="R88" s="2"/>
      <c r="W88" s="154"/>
      <c r="X88" s="46" t="s">
        <v>114</v>
      </c>
      <c r="Y88" s="46">
        <v>361.14</v>
      </c>
    </row>
    <row r="89" spans="1:25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2"/>
      <c r="L89" s="2"/>
      <c r="M89" s="2"/>
      <c r="N89" s="2"/>
      <c r="O89" s="2"/>
      <c r="P89" s="2"/>
      <c r="Q89" s="2"/>
      <c r="R89" s="2"/>
      <c r="W89" s="154"/>
      <c r="X89" s="46" t="s">
        <v>113</v>
      </c>
      <c r="Y89" s="46">
        <v>15.44</v>
      </c>
    </row>
    <row r="90" spans="1:25" ht="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2"/>
      <c r="L90" s="2"/>
      <c r="M90" s="2"/>
      <c r="N90" s="2"/>
      <c r="O90" s="2"/>
      <c r="P90" s="2"/>
      <c r="Q90" s="2"/>
      <c r="R90" s="2"/>
      <c r="W90" s="154"/>
      <c r="X90" s="46" t="s">
        <v>84</v>
      </c>
      <c r="Y90" s="46">
        <v>2.98</v>
      </c>
    </row>
    <row r="91" spans="1:25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2"/>
      <c r="L91" s="2"/>
      <c r="M91" s="2"/>
      <c r="N91" s="2"/>
      <c r="O91" s="2"/>
      <c r="P91" s="2"/>
      <c r="Q91" s="2"/>
      <c r="R91" s="2"/>
      <c r="W91" s="41"/>
      <c r="X91" s="46" t="s">
        <v>24</v>
      </c>
      <c r="Y91" s="46"/>
    </row>
    <row r="92" spans="1:25" ht="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2"/>
      <c r="L92" s="2"/>
      <c r="M92" s="2"/>
      <c r="N92" s="2"/>
      <c r="O92" s="2"/>
      <c r="P92" s="2"/>
      <c r="Q92" s="2"/>
      <c r="R92" s="2"/>
      <c r="W92" s="154" t="s">
        <v>83</v>
      </c>
      <c r="X92" s="46" t="s">
        <v>115</v>
      </c>
      <c r="Y92" s="46"/>
    </row>
    <row r="93" spans="1:25" ht="1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2"/>
      <c r="L93" s="2"/>
      <c r="M93" s="2"/>
      <c r="N93" s="2"/>
      <c r="O93" s="2"/>
      <c r="P93" s="2"/>
      <c r="Q93" s="2"/>
      <c r="R93" s="2"/>
      <c r="W93" s="154"/>
      <c r="X93" s="46" t="s">
        <v>114</v>
      </c>
      <c r="Y93" s="46">
        <v>118.78</v>
      </c>
    </row>
    <row r="94" spans="1:25" ht="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2"/>
      <c r="L94" s="2"/>
      <c r="M94" s="2"/>
      <c r="N94" s="2"/>
      <c r="O94" s="2"/>
      <c r="P94" s="2"/>
      <c r="Q94" s="2"/>
      <c r="R94" s="2"/>
      <c r="W94" s="154"/>
      <c r="X94" s="46" t="s">
        <v>113</v>
      </c>
      <c r="Y94" s="46">
        <v>13.17</v>
      </c>
    </row>
    <row r="95" spans="1:25" ht="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2"/>
      <c r="L95" s="2"/>
      <c r="M95" s="2"/>
      <c r="N95" s="2"/>
      <c r="O95" s="2"/>
      <c r="P95" s="2"/>
      <c r="Q95" s="2"/>
      <c r="R95" s="2"/>
      <c r="W95" s="154"/>
      <c r="X95" s="46" t="s">
        <v>84</v>
      </c>
      <c r="Y95" s="46">
        <v>4.35</v>
      </c>
    </row>
    <row r="96" spans="1:18" ht="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2"/>
      <c r="L96" s="2"/>
      <c r="M96" s="2"/>
      <c r="N96" s="2"/>
      <c r="O96" s="2"/>
      <c r="P96" s="2"/>
      <c r="Q96" s="2"/>
      <c r="R96" s="2"/>
    </row>
    <row r="97" spans="1:18" ht="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2"/>
      <c r="L97" s="2"/>
      <c r="M97" s="2"/>
      <c r="N97" s="2"/>
      <c r="O97" s="2"/>
      <c r="P97" s="2"/>
      <c r="Q97" s="2"/>
      <c r="R97" s="2"/>
    </row>
    <row r="98" spans="1:25" ht="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2"/>
      <c r="L98" s="2"/>
      <c r="M98" s="2"/>
      <c r="N98" s="2"/>
      <c r="O98" s="2"/>
      <c r="P98" s="2"/>
      <c r="Q98" s="2"/>
      <c r="R98" s="2"/>
      <c r="W98" s="154" t="s">
        <v>90</v>
      </c>
      <c r="X98" s="154"/>
      <c r="Y98" s="154"/>
    </row>
    <row r="99" spans="1:25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W99" s="41"/>
      <c r="X99" s="41" t="s">
        <v>24</v>
      </c>
      <c r="Y99" s="41"/>
    </row>
    <row r="100" spans="1:24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W100" s="154" t="s">
        <v>82</v>
      </c>
      <c r="X100" s="46" t="s">
        <v>115</v>
      </c>
    </row>
    <row r="101" spans="1:25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W101" s="154"/>
      <c r="X101" s="46" t="s">
        <v>114</v>
      </c>
      <c r="Y101" s="46">
        <v>384.42</v>
      </c>
    </row>
    <row r="102" spans="1:25" ht="1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W102" s="154"/>
      <c r="X102" s="46" t="s">
        <v>113</v>
      </c>
      <c r="Y102" s="46">
        <v>16.44</v>
      </c>
    </row>
    <row r="103" spans="1:25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W103" s="154"/>
      <c r="X103" s="46" t="s">
        <v>84</v>
      </c>
      <c r="Y103" s="46">
        <v>3.17</v>
      </c>
    </row>
    <row r="104" spans="1:24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W104" s="41"/>
      <c r="X104" t="s">
        <v>24</v>
      </c>
    </row>
    <row r="105" spans="1:24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W105" s="154" t="s">
        <v>83</v>
      </c>
      <c r="X105" s="46" t="s">
        <v>115</v>
      </c>
    </row>
    <row r="106" spans="1:25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W106" s="154"/>
      <c r="X106" s="46" t="s">
        <v>114</v>
      </c>
      <c r="Y106">
        <v>130.48</v>
      </c>
    </row>
    <row r="107" spans="1:25" ht="1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W107" s="154"/>
      <c r="X107" s="46" t="s">
        <v>113</v>
      </c>
      <c r="Y107">
        <v>14.46</v>
      </c>
    </row>
    <row r="108" spans="1:25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W108" s="154"/>
      <c r="X108" s="46" t="s">
        <v>84</v>
      </c>
      <c r="Y108">
        <v>4.78</v>
      </c>
    </row>
    <row r="109" spans="1:10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24" ht="1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X110" s="46"/>
    </row>
    <row r="111" spans="1:25" ht="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W111" s="154" t="s">
        <v>157</v>
      </c>
      <c r="X111" s="154"/>
      <c r="Y111" s="154"/>
    </row>
    <row r="112" spans="1:25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W112" s="111"/>
      <c r="X112" s="111" t="s">
        <v>24</v>
      </c>
      <c r="Y112" s="111"/>
    </row>
    <row r="113" spans="1:24" ht="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W113" s="154" t="s">
        <v>82</v>
      </c>
      <c r="X113" s="46" t="s">
        <v>115</v>
      </c>
    </row>
    <row r="114" spans="1:25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W114" s="154"/>
      <c r="X114" s="46" t="s">
        <v>114</v>
      </c>
      <c r="Y114" s="46"/>
    </row>
    <row r="115" spans="1:25" ht="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W115" s="154"/>
      <c r="X115" s="46" t="s">
        <v>113</v>
      </c>
      <c r="Y115" s="46"/>
    </row>
    <row r="116" spans="1:25" ht="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W116" s="154"/>
      <c r="X116" s="46" t="s">
        <v>84</v>
      </c>
      <c r="Y116" s="46">
        <v>0.7</v>
      </c>
    </row>
    <row r="117" spans="1:24" ht="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W117" s="111"/>
      <c r="X117" t="s">
        <v>24</v>
      </c>
    </row>
    <row r="118" spans="1:24" ht="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W118" s="154" t="s">
        <v>83</v>
      </c>
      <c r="X118" s="46" t="s">
        <v>115</v>
      </c>
    </row>
    <row r="119" spans="1:24" ht="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W119" s="154"/>
      <c r="X119" s="46" t="s">
        <v>114</v>
      </c>
    </row>
    <row r="120" spans="1:24" ht="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W120" s="154"/>
      <c r="X120" s="46" t="s">
        <v>113</v>
      </c>
    </row>
    <row r="121" spans="1:25" ht="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W121" s="154"/>
      <c r="X121" s="46" t="s">
        <v>84</v>
      </c>
      <c r="Y121">
        <v>1.02</v>
      </c>
    </row>
    <row r="122" spans="1:10" ht="15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24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X124">
        <v>1</v>
      </c>
    </row>
    <row r="125" spans="1:24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X125">
        <v>2</v>
      </c>
    </row>
    <row r="126" spans="1:24" ht="11.2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X126">
        <v>3</v>
      </c>
    </row>
    <row r="127" spans="1:24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X127">
        <v>4</v>
      </c>
    </row>
    <row r="128" spans="1:10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</sheetData>
  <sheetProtection password="CA9C" sheet="1"/>
  <mergeCells count="36">
    <mergeCell ref="A52:M77"/>
    <mergeCell ref="H15:J15"/>
    <mergeCell ref="H14:J14"/>
    <mergeCell ref="A9:C9"/>
    <mergeCell ref="A10:C10"/>
    <mergeCell ref="A1:M2"/>
    <mergeCell ref="F12:L12"/>
    <mergeCell ref="H21:J21"/>
    <mergeCell ref="H17:J17"/>
    <mergeCell ref="B45:M45"/>
    <mergeCell ref="W98:Y98"/>
    <mergeCell ref="B42:D42"/>
    <mergeCell ref="E42:I42"/>
    <mergeCell ref="H25:J25"/>
    <mergeCell ref="H22:J22"/>
    <mergeCell ref="A22:C22"/>
    <mergeCell ref="H31:J31"/>
    <mergeCell ref="W92:W95"/>
    <mergeCell ref="E40:I40"/>
    <mergeCell ref="B44:M44"/>
    <mergeCell ref="B40:D40"/>
    <mergeCell ref="A11:C11"/>
    <mergeCell ref="H18:J18"/>
    <mergeCell ref="H20:J20"/>
    <mergeCell ref="H24:J24"/>
    <mergeCell ref="A51:M51"/>
    <mergeCell ref="W100:W103"/>
    <mergeCell ref="W111:Y111"/>
    <mergeCell ref="W113:W116"/>
    <mergeCell ref="W118:W121"/>
    <mergeCell ref="A26:C26"/>
    <mergeCell ref="H32:J32"/>
    <mergeCell ref="W105:W108"/>
    <mergeCell ref="W56:Y56"/>
    <mergeCell ref="W85:Y85"/>
    <mergeCell ref="W87:W90"/>
  </mergeCells>
  <dataValidations count="14">
    <dataValidation type="list" allowBlank="1" showInputMessage="1" showErrorMessage="1" sqref="D14">
      <formula1>$X$57:$X$61</formula1>
    </dataValidation>
    <dataValidation type="list" allowBlank="1" showInputMessage="1" showErrorMessage="1" sqref="D15">
      <formula1>$X$62:$X$66</formula1>
    </dataValidation>
    <dataValidation type="list" allowBlank="1" showInputMessage="1" showErrorMessage="1" sqref="D17">
      <formula1>$W$69:$W$70</formula1>
    </dataValidation>
    <dataValidation type="list" allowBlank="1" showInputMessage="1" showErrorMessage="1" sqref="D18">
      <formula1>$W$71:$W$72</formula1>
    </dataValidation>
    <dataValidation type="list" allowBlank="1" showInputMessage="1" showErrorMessage="1" sqref="D20">
      <formula1>$W$75:$W$76</formula1>
    </dataValidation>
    <dataValidation type="list" allowBlank="1" showInputMessage="1" showErrorMessage="1" sqref="D21">
      <formula1>$W$77:$W$78</formula1>
    </dataValidation>
    <dataValidation type="list" allowBlank="1" showInputMessage="1" showErrorMessage="1" sqref="D22">
      <formula1>$W$81:$W$82</formula1>
    </dataValidation>
    <dataValidation type="list" allowBlank="1" showInputMessage="1" showErrorMessage="1" sqref="D24">
      <formula1>$X$86:$X$90</formula1>
    </dataValidation>
    <dataValidation type="list" allowBlank="1" showInputMessage="1" showErrorMessage="1" sqref="D25:D26">
      <formula1>$X$91:$X$95</formula1>
    </dataValidation>
    <dataValidation type="list" allowBlank="1" showInputMessage="1" showErrorMessage="1" sqref="D31">
      <formula1>$X$99:$X$103</formula1>
    </dataValidation>
    <dataValidation type="list" allowBlank="1" showInputMessage="1" showErrorMessage="1" sqref="D32">
      <formula1>$X$104:$X$108</formula1>
    </dataValidation>
    <dataValidation type="list" allowBlank="1" showInputMessage="1" showErrorMessage="1" sqref="D8">
      <formula1>$X$123:$X$127</formula1>
    </dataValidation>
    <dataValidation type="list" allowBlank="1" showInputMessage="1" showErrorMessage="1" sqref="D27">
      <formula1>$X$112:$X$116</formula1>
    </dataValidation>
    <dataValidation type="list" allowBlank="1" showInputMessage="1" showErrorMessage="1" sqref="D28">
      <formula1>$X$117:$X$121</formula1>
    </dataValidation>
  </dataValidations>
  <printOptions/>
  <pageMargins left="0.7874015748031497" right="0.31496062992125984" top="0.31496062992125984" bottom="0.5905511811023623" header="0.31496062992125984" footer="0.31496062992125984"/>
  <pageSetup fitToHeight="0" fitToWidth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theme="4" tint="0.5999900102615356"/>
  </sheetPr>
  <dimension ref="A1:AO193"/>
  <sheetViews>
    <sheetView zoomScalePageLayoutView="0" workbookViewId="0" topLeftCell="X1">
      <selection activeCell="Y24" sqref="Y24"/>
    </sheetView>
  </sheetViews>
  <sheetFormatPr defaultColWidth="7.00390625" defaultRowHeight="15" outlineLevelRow="1"/>
  <cols>
    <col min="1" max="21" width="7.00390625" style="0" hidden="1" customWidth="1"/>
    <col min="22" max="22" width="34.00390625" style="0" hidden="1" customWidth="1"/>
    <col min="23" max="23" width="33.00390625" style="0" hidden="1" customWidth="1"/>
    <col min="24" max="24" width="4.28125" style="0" customWidth="1"/>
    <col min="25" max="25" width="14.140625" style="0" customWidth="1"/>
    <col min="26" max="26" width="23.28125" style="0" customWidth="1"/>
    <col min="27" max="27" width="14.421875" style="0" customWidth="1"/>
    <col min="28" max="28" width="7.00390625" style="0" customWidth="1"/>
    <col min="29" max="29" width="6.8515625" style="0" customWidth="1"/>
    <col min="30" max="30" width="7.00390625" style="0" hidden="1" customWidth="1"/>
    <col min="31" max="31" width="13.00390625" style="0" customWidth="1"/>
    <col min="32" max="32" width="5.28125" style="0" customWidth="1"/>
    <col min="33" max="33" width="7.00390625" style="0" hidden="1" customWidth="1"/>
  </cols>
  <sheetData>
    <row r="1" spans="1:41" ht="18.75">
      <c r="A1" s="162"/>
      <c r="B1" s="162"/>
      <c r="C1" s="162"/>
      <c r="D1" s="162"/>
      <c r="E1" s="162"/>
      <c r="F1" s="163"/>
      <c r="G1" s="163"/>
      <c r="H1" s="163"/>
      <c r="I1" s="163"/>
      <c r="J1" s="32"/>
      <c r="K1" s="32"/>
      <c r="L1" s="163"/>
      <c r="M1" s="162"/>
      <c r="N1" s="162"/>
      <c r="O1" s="162"/>
      <c r="P1" s="32"/>
      <c r="Q1" s="32"/>
      <c r="R1" s="163"/>
      <c r="S1" s="162"/>
      <c r="T1" s="162"/>
      <c r="U1" s="32"/>
      <c r="V1" s="1"/>
      <c r="W1" s="1"/>
      <c r="X1" s="181" t="s">
        <v>293</v>
      </c>
      <c r="Y1" s="181"/>
      <c r="Z1" s="181"/>
      <c r="AA1" s="181"/>
      <c r="AB1" s="181"/>
      <c r="AC1" s="181"/>
      <c r="AD1" s="181"/>
      <c r="AE1" s="181"/>
      <c r="AF1" s="181"/>
      <c r="AG1" s="182"/>
      <c r="AH1" s="4"/>
      <c r="AI1" s="4"/>
      <c r="AJ1" s="4"/>
      <c r="AK1" s="4"/>
      <c r="AL1" s="4"/>
      <c r="AM1" s="4"/>
      <c r="AN1" s="4"/>
      <c r="AO1" s="4"/>
    </row>
    <row r="2" spans="1:33" ht="33.75" customHeight="1">
      <c r="A2" s="98"/>
      <c r="B2" s="34"/>
      <c r="C2" s="34"/>
      <c r="D2" s="98"/>
      <c r="E2" s="98"/>
      <c r="F2" s="99"/>
      <c r="G2" s="99"/>
      <c r="H2" s="99"/>
      <c r="I2" s="99"/>
      <c r="J2" s="32"/>
      <c r="K2" s="32"/>
      <c r="L2" s="99"/>
      <c r="M2" s="98"/>
      <c r="N2" s="98"/>
      <c r="O2" s="98"/>
      <c r="P2" s="32"/>
      <c r="Q2" s="32"/>
      <c r="R2" s="99"/>
      <c r="S2" s="98"/>
      <c r="T2" s="98"/>
      <c r="U2" s="32"/>
      <c r="V2" s="1"/>
      <c r="W2" s="1"/>
      <c r="X2" s="153"/>
      <c r="Y2" s="153"/>
      <c r="Z2" s="153"/>
      <c r="AA2" s="153"/>
      <c r="AB2" s="153"/>
      <c r="AC2" s="153"/>
      <c r="AD2" s="153"/>
      <c r="AE2" s="153"/>
      <c r="AF2" s="153"/>
      <c r="AG2" s="153"/>
    </row>
    <row r="3" spans="1:34" ht="15" customHeight="1">
      <c r="A3" s="36"/>
      <c r="B3" s="37"/>
      <c r="C3" s="38"/>
      <c r="D3" s="98"/>
      <c r="E3" s="98"/>
      <c r="F3" s="32"/>
      <c r="G3" s="3"/>
      <c r="H3" s="3"/>
      <c r="I3" s="33"/>
      <c r="J3" s="32"/>
      <c r="K3" s="32"/>
      <c r="L3" s="32"/>
      <c r="M3" s="39"/>
      <c r="N3" s="3"/>
      <c r="O3" s="33"/>
      <c r="P3" s="32"/>
      <c r="Q3" s="32"/>
      <c r="R3" s="32"/>
      <c r="S3" s="3"/>
      <c r="T3" s="33"/>
      <c r="U3" s="32"/>
      <c r="V3" s="1"/>
      <c r="W3" s="1"/>
      <c r="X3" s="23"/>
      <c r="Y3" s="23"/>
      <c r="Z3" s="23"/>
      <c r="AA3" s="23"/>
      <c r="AB3" s="23"/>
      <c r="AC3" s="23"/>
      <c r="AD3" s="23"/>
      <c r="AE3" s="23"/>
      <c r="AF3" s="23"/>
      <c r="AG3" s="24"/>
      <c r="AH3" s="25"/>
    </row>
    <row r="4" spans="1:34" ht="15" customHeight="1">
      <c r="A4" s="36"/>
      <c r="B4" s="37"/>
      <c r="C4" s="38"/>
      <c r="D4" s="98"/>
      <c r="E4" s="98"/>
      <c r="F4" s="32"/>
      <c r="G4" s="3"/>
      <c r="H4" s="3"/>
      <c r="I4" s="33"/>
      <c r="J4" s="32"/>
      <c r="K4" s="32"/>
      <c r="L4" s="32"/>
      <c r="M4" s="39"/>
      <c r="N4" s="3"/>
      <c r="O4" s="33"/>
      <c r="P4" s="32"/>
      <c r="Q4" s="32"/>
      <c r="R4" s="32"/>
      <c r="S4" s="3"/>
      <c r="T4" s="33"/>
      <c r="U4" s="32"/>
      <c r="V4" s="1"/>
      <c r="W4" s="1"/>
      <c r="X4" s="26" t="s">
        <v>55</v>
      </c>
      <c r="Y4" s="27"/>
      <c r="Z4" s="27"/>
      <c r="AB4" s="21" t="s">
        <v>121</v>
      </c>
      <c r="AC4" s="22"/>
      <c r="AD4" s="22"/>
      <c r="AE4" s="22" t="s">
        <v>122</v>
      </c>
      <c r="AF4" s="17">
        <v>6.62</v>
      </c>
      <c r="AG4" s="22"/>
      <c r="AH4" s="25"/>
    </row>
    <row r="5" spans="1:38" ht="15" customHeight="1">
      <c r="A5" s="36"/>
      <c r="B5" s="37"/>
      <c r="C5" s="38"/>
      <c r="D5" s="98"/>
      <c r="E5" s="98"/>
      <c r="F5" s="32"/>
      <c r="G5" s="3"/>
      <c r="H5" s="3"/>
      <c r="I5" s="33"/>
      <c r="J5" s="32"/>
      <c r="K5" s="32"/>
      <c r="L5" s="32"/>
      <c r="M5" s="39"/>
      <c r="N5" s="3"/>
      <c r="O5" s="33"/>
      <c r="P5" s="32"/>
      <c r="Q5" s="32"/>
      <c r="R5" s="32"/>
      <c r="S5" s="3"/>
      <c r="T5" s="33"/>
      <c r="U5" s="32"/>
      <c r="V5" s="1"/>
      <c r="W5" s="1"/>
      <c r="X5" s="26" t="s">
        <v>56</v>
      </c>
      <c r="Y5" s="27"/>
      <c r="Z5" s="27"/>
      <c r="AA5" s="21"/>
      <c r="AB5" s="22"/>
      <c r="AC5" s="22"/>
      <c r="AD5" s="22"/>
      <c r="AE5" s="22" t="s">
        <v>120</v>
      </c>
      <c r="AF5" s="17">
        <v>4.17</v>
      </c>
      <c r="AG5" s="22"/>
      <c r="AH5" s="25"/>
      <c r="AL5" s="27"/>
    </row>
    <row r="6" spans="1:34" ht="15" customHeight="1">
      <c r="A6" s="36"/>
      <c r="B6" s="37"/>
      <c r="C6" s="38"/>
      <c r="D6" s="98"/>
      <c r="E6" s="98"/>
      <c r="F6" s="32"/>
      <c r="G6" s="3"/>
      <c r="H6" s="3"/>
      <c r="I6" s="33"/>
      <c r="J6" s="32"/>
      <c r="K6" s="32"/>
      <c r="L6" s="32"/>
      <c r="M6" s="39"/>
      <c r="N6" s="3"/>
      <c r="O6" s="33"/>
      <c r="P6" s="32"/>
      <c r="Q6" s="32"/>
      <c r="R6" s="32"/>
      <c r="S6" s="3"/>
      <c r="T6" s="33"/>
      <c r="U6" s="32"/>
      <c r="V6" s="1"/>
      <c r="W6" s="1"/>
      <c r="X6" s="26" t="s">
        <v>57</v>
      </c>
      <c r="Y6" s="27"/>
      <c r="Z6" s="27"/>
      <c r="AA6" s="21"/>
      <c r="AB6" s="22"/>
      <c r="AC6" s="22"/>
      <c r="AD6" s="22"/>
      <c r="AE6" s="22" t="s">
        <v>123</v>
      </c>
      <c r="AF6" s="17">
        <v>5.52</v>
      </c>
      <c r="AG6" s="22"/>
      <c r="AH6" s="25"/>
    </row>
    <row r="7" spans="1:34" ht="15">
      <c r="A7" s="36"/>
      <c r="B7" s="40"/>
      <c r="C7" s="38"/>
      <c r="D7" s="3"/>
      <c r="E7" s="2"/>
      <c r="F7" s="32"/>
      <c r="G7" s="3"/>
      <c r="H7" s="3"/>
      <c r="I7" s="33"/>
      <c r="J7" s="32"/>
      <c r="K7" s="32"/>
      <c r="L7" s="32"/>
      <c r="M7" s="39"/>
      <c r="N7" s="3"/>
      <c r="O7" s="33"/>
      <c r="P7" s="32"/>
      <c r="Q7" s="32"/>
      <c r="R7" s="32"/>
      <c r="S7" s="3"/>
      <c r="T7" s="33"/>
      <c r="U7" s="32"/>
      <c r="V7" s="1"/>
      <c r="W7" s="1"/>
      <c r="X7" s="107"/>
      <c r="Y7" s="107"/>
      <c r="Z7" s="107"/>
      <c r="AA7" s="107"/>
      <c r="AB7" s="107"/>
      <c r="AC7" s="107"/>
      <c r="AD7" s="107"/>
      <c r="AE7" s="28"/>
      <c r="AF7" s="28"/>
      <c r="AG7" s="24"/>
      <c r="AH7" s="25"/>
    </row>
    <row r="8" spans="1:33" ht="15">
      <c r="A8" s="36"/>
      <c r="B8" s="40"/>
      <c r="C8" s="38"/>
      <c r="D8" s="3"/>
      <c r="E8" s="2"/>
      <c r="F8" s="32"/>
      <c r="G8" s="3"/>
      <c r="H8" s="3"/>
      <c r="I8" s="33"/>
      <c r="J8" s="32"/>
      <c r="K8" s="32"/>
      <c r="L8" s="32"/>
      <c r="M8" s="39"/>
      <c r="N8" s="3"/>
      <c r="O8" s="33"/>
      <c r="P8" s="32"/>
      <c r="Q8" s="32"/>
      <c r="R8" s="32"/>
      <c r="S8" s="3"/>
      <c r="T8" s="33"/>
      <c r="U8" s="32"/>
      <c r="V8" s="1"/>
      <c r="W8" s="1"/>
      <c r="X8" s="160" t="s">
        <v>72</v>
      </c>
      <c r="Y8" s="160"/>
      <c r="Z8" s="160"/>
      <c r="AA8" s="19">
        <v>0</v>
      </c>
      <c r="AB8" s="10" t="s">
        <v>18</v>
      </c>
      <c r="AC8" s="10"/>
      <c r="AD8" s="10"/>
      <c r="AE8" s="11"/>
      <c r="AF8" s="11"/>
      <c r="AG8" s="9"/>
    </row>
    <row r="9" spans="1:33" ht="15">
      <c r="A9" s="36"/>
      <c r="B9" s="40"/>
      <c r="C9" s="38"/>
      <c r="D9" s="3"/>
      <c r="E9" s="2"/>
      <c r="F9" s="32"/>
      <c r="G9" s="3"/>
      <c r="H9" s="3"/>
      <c r="I9" s="33"/>
      <c r="J9" s="32"/>
      <c r="K9" s="32"/>
      <c r="L9" s="32"/>
      <c r="M9" s="39"/>
      <c r="N9" s="3"/>
      <c r="O9" s="33"/>
      <c r="P9" s="32"/>
      <c r="Q9" s="32"/>
      <c r="R9" s="32"/>
      <c r="S9" s="3"/>
      <c r="T9" s="33"/>
      <c r="U9" s="32"/>
      <c r="V9" s="1"/>
      <c r="W9" s="1"/>
      <c r="X9" s="159" t="s">
        <v>73</v>
      </c>
      <c r="Y9" s="165"/>
      <c r="Z9" s="165"/>
      <c r="AA9" s="19">
        <v>0</v>
      </c>
      <c r="AB9" s="10" t="s">
        <v>18</v>
      </c>
      <c r="AC9" s="10"/>
      <c r="AD9" s="10"/>
      <c r="AE9" s="11"/>
      <c r="AF9" s="11"/>
      <c r="AG9" s="9"/>
    </row>
    <row r="10" spans="1:33" ht="15" outlineLevel="1">
      <c r="A10" s="36"/>
      <c r="B10" s="40"/>
      <c r="C10" s="38"/>
      <c r="D10" s="3"/>
      <c r="E10" s="2"/>
      <c r="F10" s="32"/>
      <c r="G10" s="3"/>
      <c r="H10" s="3"/>
      <c r="I10" s="33"/>
      <c r="J10" s="32"/>
      <c r="K10" s="32"/>
      <c r="L10" s="32"/>
      <c r="M10" s="39"/>
      <c r="N10" s="3"/>
      <c r="O10" s="33"/>
      <c r="P10" s="32"/>
      <c r="Q10" s="32"/>
      <c r="R10" s="32"/>
      <c r="S10" s="3"/>
      <c r="T10" s="33"/>
      <c r="U10" s="32"/>
      <c r="V10" s="1"/>
      <c r="W10" s="1"/>
      <c r="X10" s="160" t="s">
        <v>73</v>
      </c>
      <c r="Y10" s="160"/>
      <c r="Z10" s="160"/>
      <c r="AA10" s="19">
        <v>0</v>
      </c>
      <c r="AB10" s="10" t="s">
        <v>18</v>
      </c>
      <c r="AC10" s="10"/>
      <c r="AD10" s="10"/>
      <c r="AE10" s="11"/>
      <c r="AF10" s="11"/>
      <c r="AG10" s="9"/>
    </row>
    <row r="11" spans="1:33" ht="15">
      <c r="A11" s="36"/>
      <c r="B11" s="40"/>
      <c r="C11" s="38"/>
      <c r="D11" s="3"/>
      <c r="E11" s="2"/>
      <c r="F11" s="32"/>
      <c r="G11" s="3"/>
      <c r="H11" s="3"/>
      <c r="I11" s="33"/>
      <c r="J11" s="32"/>
      <c r="K11" s="32"/>
      <c r="L11" s="32"/>
      <c r="M11" s="39"/>
      <c r="N11" s="3"/>
      <c r="O11" s="33"/>
      <c r="P11" s="32"/>
      <c r="Q11" s="32"/>
      <c r="R11" s="32"/>
      <c r="S11" s="3"/>
      <c r="T11" s="33"/>
      <c r="U11" s="32"/>
      <c r="V11" s="1"/>
      <c r="W11" s="1"/>
      <c r="X11" s="160" t="s">
        <v>74</v>
      </c>
      <c r="Y11" s="154"/>
      <c r="Z11" s="154"/>
      <c r="AA11" s="19">
        <v>0</v>
      </c>
      <c r="AB11" s="10" t="s">
        <v>18</v>
      </c>
      <c r="AC11" s="10"/>
      <c r="AD11" s="10"/>
      <c r="AE11" s="11"/>
      <c r="AF11" s="11"/>
      <c r="AG11" s="9"/>
    </row>
    <row r="12" spans="1:33" ht="15">
      <c r="A12" s="36"/>
      <c r="B12" s="40"/>
      <c r="C12" s="38"/>
      <c r="D12" s="3"/>
      <c r="E12" s="2"/>
      <c r="F12" s="32"/>
      <c r="G12" s="3"/>
      <c r="H12" s="3"/>
      <c r="I12" s="33"/>
      <c r="J12" s="32"/>
      <c r="K12" s="32"/>
      <c r="L12" s="32"/>
      <c r="M12" s="39"/>
      <c r="N12" s="3"/>
      <c r="O12" s="33"/>
      <c r="P12" s="32"/>
      <c r="Q12" s="32"/>
      <c r="R12" s="32"/>
      <c r="S12" s="3"/>
      <c r="T12" s="33"/>
      <c r="U12" s="32"/>
      <c r="V12" s="1"/>
      <c r="W12" s="1"/>
      <c r="X12" s="159" t="s">
        <v>75</v>
      </c>
      <c r="Y12" s="159"/>
      <c r="Z12" s="159"/>
      <c r="AA12" s="19">
        <v>0</v>
      </c>
      <c r="AB12" s="10" t="s">
        <v>18</v>
      </c>
      <c r="AC12" s="10"/>
      <c r="AD12" s="10"/>
      <c r="AE12" s="11"/>
      <c r="AF12" s="11"/>
      <c r="AG12" s="9"/>
    </row>
    <row r="13" spans="1:33" ht="15">
      <c r="A13" s="36"/>
      <c r="B13" s="40"/>
      <c r="C13" s="38"/>
      <c r="D13" s="3"/>
      <c r="E13" s="2"/>
      <c r="F13" s="32"/>
      <c r="G13" s="3"/>
      <c r="H13" s="3"/>
      <c r="I13" s="33"/>
      <c r="J13" s="32"/>
      <c r="K13" s="32"/>
      <c r="L13" s="32"/>
      <c r="M13" s="39"/>
      <c r="N13" s="3"/>
      <c r="O13" s="33"/>
      <c r="P13" s="32"/>
      <c r="Q13" s="32"/>
      <c r="R13" s="32"/>
      <c r="S13" s="3"/>
      <c r="T13" s="33"/>
      <c r="U13" s="32"/>
      <c r="V13" s="1"/>
      <c r="W13" s="1"/>
      <c r="X13" s="159" t="s">
        <v>75</v>
      </c>
      <c r="Y13" s="159"/>
      <c r="Z13" s="159"/>
      <c r="AA13" s="19">
        <v>0</v>
      </c>
      <c r="AB13" s="10" t="s">
        <v>18</v>
      </c>
      <c r="AC13" s="10"/>
      <c r="AD13" s="10"/>
      <c r="AE13" s="11"/>
      <c r="AF13" s="11"/>
      <c r="AG13" s="9"/>
    </row>
    <row r="14" spans="1:33" ht="15">
      <c r="A14" s="36"/>
      <c r="B14" s="40"/>
      <c r="C14" s="38"/>
      <c r="D14" s="3"/>
      <c r="E14" s="2"/>
      <c r="F14" s="32"/>
      <c r="G14" s="3"/>
      <c r="H14" s="3"/>
      <c r="I14" s="33"/>
      <c r="J14" s="32"/>
      <c r="K14" s="32"/>
      <c r="L14" s="32"/>
      <c r="M14" s="39"/>
      <c r="N14" s="3"/>
      <c r="O14" s="33"/>
      <c r="P14" s="32"/>
      <c r="Q14" s="32"/>
      <c r="R14" s="32"/>
      <c r="S14" s="3"/>
      <c r="T14" s="33"/>
      <c r="U14" s="32"/>
      <c r="V14" s="1"/>
      <c r="W14" s="1"/>
      <c r="X14" s="160" t="s">
        <v>19</v>
      </c>
      <c r="Y14" s="160"/>
      <c r="Z14" s="160"/>
      <c r="AA14" s="19">
        <v>0</v>
      </c>
      <c r="AB14" s="10" t="s">
        <v>20</v>
      </c>
      <c r="AC14" s="10"/>
      <c r="AD14" s="10"/>
      <c r="AE14" s="11"/>
      <c r="AF14" s="11"/>
      <c r="AG14" s="9"/>
    </row>
    <row r="15" spans="1:33" ht="15">
      <c r="A15" s="36"/>
      <c r="B15" s="40"/>
      <c r="C15" s="38"/>
      <c r="D15" s="3"/>
      <c r="E15" s="2"/>
      <c r="F15" s="32"/>
      <c r="G15" s="3"/>
      <c r="H15" s="3"/>
      <c r="I15" s="33"/>
      <c r="J15" s="32"/>
      <c r="K15" s="32"/>
      <c r="L15" s="32"/>
      <c r="M15" s="3"/>
      <c r="N15" s="3"/>
      <c r="O15" s="33"/>
      <c r="P15" s="32"/>
      <c r="Q15" s="32"/>
      <c r="R15" s="32"/>
      <c r="S15" s="3"/>
      <c r="T15" s="33"/>
      <c r="U15" s="32"/>
      <c r="V15" s="1"/>
      <c r="W15" s="1"/>
      <c r="X15" s="159" t="s">
        <v>71</v>
      </c>
      <c r="Y15" s="159"/>
      <c r="Z15" s="159"/>
      <c r="AA15" s="19">
        <v>0</v>
      </c>
      <c r="AB15" s="12" t="s">
        <v>20</v>
      </c>
      <c r="AC15" s="10"/>
      <c r="AD15" s="10"/>
      <c r="AE15" s="11"/>
      <c r="AF15" s="11"/>
      <c r="AG15" s="9"/>
    </row>
    <row r="16" spans="1:33" ht="31.5" customHeight="1">
      <c r="A16" s="36"/>
      <c r="B16" s="40"/>
      <c r="C16" s="38"/>
      <c r="D16" s="3"/>
      <c r="E16" s="2"/>
      <c r="F16" s="32"/>
      <c r="G16" s="3"/>
      <c r="H16" s="3"/>
      <c r="I16" s="33"/>
      <c r="J16" s="32"/>
      <c r="K16" s="32"/>
      <c r="L16" s="32"/>
      <c r="M16" s="3"/>
      <c r="N16" s="3"/>
      <c r="O16" s="33"/>
      <c r="P16" s="32"/>
      <c r="Q16" s="32"/>
      <c r="R16" s="32"/>
      <c r="S16" s="3"/>
      <c r="T16" s="33"/>
      <c r="U16" s="32"/>
      <c r="V16" s="1"/>
      <c r="W16" s="1"/>
      <c r="X16" s="161" t="s">
        <v>124</v>
      </c>
      <c r="Y16" s="161"/>
      <c r="Z16" s="161"/>
      <c r="AA16" s="17"/>
      <c r="AB16" s="183" t="s">
        <v>119</v>
      </c>
      <c r="AC16" s="183"/>
      <c r="AD16" s="183"/>
      <c r="AE16" s="183"/>
      <c r="AF16" s="183"/>
      <c r="AG16" s="183"/>
    </row>
    <row r="17" spans="1:33" ht="15">
      <c r="A17" s="36"/>
      <c r="B17" s="40"/>
      <c r="C17" s="38"/>
      <c r="D17" s="3"/>
      <c r="E17" s="2"/>
      <c r="F17" s="32"/>
      <c r="G17" s="3"/>
      <c r="H17" s="3"/>
      <c r="I17" s="33"/>
      <c r="J17" s="32"/>
      <c r="K17" s="32"/>
      <c r="L17" s="32"/>
      <c r="M17" s="3"/>
      <c r="N17" s="3"/>
      <c r="O17" s="33"/>
      <c r="P17" s="32"/>
      <c r="Q17" s="32"/>
      <c r="R17" s="32"/>
      <c r="S17" s="3"/>
      <c r="T17" s="33"/>
      <c r="U17" s="32"/>
      <c r="V17" s="1"/>
      <c r="W17" s="1"/>
      <c r="X17" s="10"/>
      <c r="Y17" s="10"/>
      <c r="Z17" s="10" t="s">
        <v>24</v>
      </c>
      <c r="AA17" s="10"/>
      <c r="AB17" s="10"/>
      <c r="AC17" s="10"/>
      <c r="AD17" s="10"/>
      <c r="AE17" s="8"/>
      <c r="AF17" s="11"/>
      <c r="AG17" s="9"/>
    </row>
    <row r="18" spans="1:36" ht="15">
      <c r="A18" s="36"/>
      <c r="B18" s="40"/>
      <c r="C18" s="38"/>
      <c r="D18" s="3"/>
      <c r="E18" s="2"/>
      <c r="F18" s="32"/>
      <c r="G18" s="32"/>
      <c r="H18" s="32"/>
      <c r="I18" s="32"/>
      <c r="J18" s="32"/>
      <c r="K18" s="32"/>
      <c r="L18" s="32"/>
      <c r="M18" s="3"/>
      <c r="N18" s="3"/>
      <c r="O18" s="33"/>
      <c r="P18" s="32"/>
      <c r="Q18" s="32"/>
      <c r="R18" s="32"/>
      <c r="S18" s="3"/>
      <c r="T18" s="33"/>
      <c r="U18" s="32"/>
      <c r="V18" s="1"/>
      <c r="W18" s="1"/>
      <c r="X18" s="101" t="s">
        <v>58</v>
      </c>
      <c r="Y18" s="107" t="s">
        <v>64</v>
      </c>
      <c r="Z18" s="131" t="s">
        <v>24</v>
      </c>
      <c r="AA18" s="8">
        <f>IF(Z18=A67,0,VLOOKUP(Z18,A66:C70,3,0))</f>
        <v>0</v>
      </c>
      <c r="AB18" s="10" t="s">
        <v>48</v>
      </c>
      <c r="AC18" s="10"/>
      <c r="AD18" s="10"/>
      <c r="AE18" s="8">
        <f>IF(AA18=466.1,466.1,AA18*(AA14-AA15))</f>
        <v>0</v>
      </c>
      <c r="AF18" s="11" t="s">
        <v>50</v>
      </c>
      <c r="AG18" s="9"/>
      <c r="AJ18" s="16"/>
    </row>
    <row r="19" spans="1:36" ht="15">
      <c r="A19" s="2"/>
      <c r="B19" s="2"/>
      <c r="C19" s="2"/>
      <c r="D19" s="2"/>
      <c r="E19" s="2"/>
      <c r="F19" s="32"/>
      <c r="G19" s="32"/>
      <c r="H19" s="32"/>
      <c r="I19" s="32"/>
      <c r="J19" s="32"/>
      <c r="K19" s="32"/>
      <c r="L19" s="32"/>
      <c r="M19" s="3"/>
      <c r="N19" s="3"/>
      <c r="O19" s="33"/>
      <c r="P19" s="32"/>
      <c r="Q19" s="32"/>
      <c r="R19" s="32"/>
      <c r="S19" s="3"/>
      <c r="T19" s="33"/>
      <c r="U19" s="32"/>
      <c r="V19" s="1"/>
      <c r="W19" s="1"/>
      <c r="X19" s="10"/>
      <c r="Y19" s="107" t="s">
        <v>65</v>
      </c>
      <c r="Z19" s="131" t="s">
        <v>24</v>
      </c>
      <c r="AA19" s="8">
        <f>IF(Z19=A61,0,VLOOKUP(Z19,A61:C65,3,0))</f>
        <v>0</v>
      </c>
      <c r="AB19" s="10" t="s">
        <v>17</v>
      </c>
      <c r="AC19" s="10"/>
      <c r="AD19" s="10"/>
      <c r="AE19" s="8">
        <f>IF(AA19=466.1,466.1,AA19*(AA14-AA15))</f>
        <v>0</v>
      </c>
      <c r="AF19" s="11" t="s">
        <v>50</v>
      </c>
      <c r="AG19" s="9"/>
      <c r="AJ19" s="73"/>
    </row>
    <row r="20" spans="1:36" ht="15">
      <c r="A20" s="2"/>
      <c r="B20" s="2"/>
      <c r="C20" s="2"/>
      <c r="D20" s="2"/>
      <c r="E20" s="2"/>
      <c r="F20" s="32"/>
      <c r="G20" s="32"/>
      <c r="H20" s="32"/>
      <c r="I20" s="32"/>
      <c r="J20" s="32"/>
      <c r="K20" s="32"/>
      <c r="L20" s="32"/>
      <c r="M20" s="3"/>
      <c r="N20" s="3"/>
      <c r="O20" s="33"/>
      <c r="P20" s="32"/>
      <c r="Q20" s="32"/>
      <c r="R20" s="32"/>
      <c r="S20" s="3"/>
      <c r="T20" s="33"/>
      <c r="U20" s="32"/>
      <c r="V20" s="1"/>
      <c r="W20" s="1"/>
      <c r="X20" s="101" t="s">
        <v>59</v>
      </c>
      <c r="Y20" s="107" t="s">
        <v>66</v>
      </c>
      <c r="Z20" s="131" t="s">
        <v>24</v>
      </c>
      <c r="AA20" s="8">
        <f>VLOOKUP(Z20,F85:I100,4,0)</f>
        <v>0</v>
      </c>
      <c r="AB20" s="10" t="s">
        <v>49</v>
      </c>
      <c r="AC20" s="10"/>
      <c r="AD20" s="10"/>
      <c r="AE20" s="8">
        <f>AA20*AA8*AF5</f>
        <v>0</v>
      </c>
      <c r="AF20" s="11" t="s">
        <v>50</v>
      </c>
      <c r="AG20" s="9"/>
      <c r="AJ20" s="73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2"/>
      <c r="M21" s="3"/>
      <c r="N21" s="3"/>
      <c r="O21" s="33"/>
      <c r="P21" s="2"/>
      <c r="Q21" s="2"/>
      <c r="R21" s="32"/>
      <c r="S21" s="3"/>
      <c r="T21" s="33"/>
      <c r="U21" s="2"/>
      <c r="X21" s="10"/>
      <c r="Y21" s="26" t="s">
        <v>67</v>
      </c>
      <c r="Z21" s="131" t="s">
        <v>24</v>
      </c>
      <c r="AA21" s="8">
        <f>VLOOKUP(Z21,F61:I84,4,0)</f>
        <v>0</v>
      </c>
      <c r="AB21" s="10" t="s">
        <v>49</v>
      </c>
      <c r="AC21" s="10"/>
      <c r="AD21" s="10"/>
      <c r="AE21" s="61">
        <f>AA21*AA11*AF5</f>
        <v>0</v>
      </c>
      <c r="AF21" s="10" t="s">
        <v>50</v>
      </c>
      <c r="AG21" s="14"/>
      <c r="AJ21" s="73"/>
    </row>
    <row r="22" spans="1:3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2"/>
      <c r="M22" s="3"/>
      <c r="N22" s="3"/>
      <c r="O22" s="33"/>
      <c r="P22" s="2"/>
      <c r="Q22" s="2"/>
      <c r="R22" s="32"/>
      <c r="S22" s="3"/>
      <c r="T22" s="33"/>
      <c r="U22" s="2"/>
      <c r="X22" s="10" t="s">
        <v>60</v>
      </c>
      <c r="Y22" s="107" t="s">
        <v>68</v>
      </c>
      <c r="Z22" s="131" t="s">
        <v>24</v>
      </c>
      <c r="AA22" s="8">
        <f>VLOOKUP(Z22,L96:O140,4,0)</f>
        <v>0</v>
      </c>
      <c r="AB22" s="10" t="s">
        <v>49</v>
      </c>
      <c r="AC22" s="10"/>
      <c r="AD22" s="10"/>
      <c r="AE22" s="8">
        <f>AA22*AA9*AF6</f>
        <v>0</v>
      </c>
      <c r="AF22" s="10" t="s">
        <v>50</v>
      </c>
      <c r="AG22" s="14"/>
      <c r="AJ22" s="73"/>
    </row>
    <row r="23" spans="1:36" ht="15" outlineLevel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32"/>
      <c r="M23" s="3"/>
      <c r="N23" s="3"/>
      <c r="O23" s="33"/>
      <c r="P23" s="2"/>
      <c r="Q23" s="2"/>
      <c r="R23" s="32"/>
      <c r="S23" s="3"/>
      <c r="T23" s="33"/>
      <c r="U23" s="2"/>
      <c r="X23" s="10"/>
      <c r="Y23" s="107" t="s">
        <v>68</v>
      </c>
      <c r="Z23" s="131" t="s">
        <v>24</v>
      </c>
      <c r="AA23" s="8">
        <f>VLOOKUP(Z23,L96:O140,4,0)</f>
        <v>0</v>
      </c>
      <c r="AB23" s="10" t="s">
        <v>49</v>
      </c>
      <c r="AC23" s="10"/>
      <c r="AD23" s="10"/>
      <c r="AE23" s="8">
        <f>AF6*AA10*AA23</f>
        <v>0</v>
      </c>
      <c r="AF23" s="10" t="s">
        <v>50</v>
      </c>
      <c r="AG23" s="14"/>
      <c r="AJ23" s="73"/>
    </row>
    <row r="24" spans="1:3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2"/>
      <c r="M24" s="3"/>
      <c r="N24" s="3"/>
      <c r="O24" s="33"/>
      <c r="P24" s="2"/>
      <c r="Q24" s="2"/>
      <c r="R24" s="32"/>
      <c r="S24" s="2"/>
      <c r="T24" s="2"/>
      <c r="U24" s="2"/>
      <c r="X24" s="10"/>
      <c r="Y24" s="26" t="s">
        <v>69</v>
      </c>
      <c r="Z24" s="131" t="s">
        <v>24</v>
      </c>
      <c r="AA24" s="8">
        <f>VLOOKUP(Z24,L61:O95,4,0)</f>
        <v>0</v>
      </c>
      <c r="AB24" s="10" t="s">
        <v>49</v>
      </c>
      <c r="AC24" s="10"/>
      <c r="AD24" s="10"/>
      <c r="AE24" s="8">
        <f>AA24*AA12*AF6</f>
        <v>0</v>
      </c>
      <c r="AF24" s="15" t="s">
        <v>50</v>
      </c>
      <c r="AG24" s="14"/>
      <c r="AJ24" s="73"/>
    </row>
    <row r="25" spans="1:3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2"/>
      <c r="M25" s="3"/>
      <c r="N25" s="3"/>
      <c r="O25" s="33"/>
      <c r="P25" s="2"/>
      <c r="Q25" s="2"/>
      <c r="R25" s="32"/>
      <c r="S25" s="2"/>
      <c r="T25" s="2"/>
      <c r="U25" s="2"/>
      <c r="X25" s="10"/>
      <c r="Y25" s="26" t="s">
        <v>69</v>
      </c>
      <c r="Z25" s="131" t="s">
        <v>24</v>
      </c>
      <c r="AA25" s="8">
        <f>VLOOKUP(Z25,L62:O96,4,0)</f>
        <v>0</v>
      </c>
      <c r="AB25" s="10" t="s">
        <v>49</v>
      </c>
      <c r="AC25" s="10"/>
      <c r="AD25" s="10"/>
      <c r="AE25" s="8">
        <f>AA25*AA13*AF6</f>
        <v>0</v>
      </c>
      <c r="AF25" s="15" t="s">
        <v>50</v>
      </c>
      <c r="AG25" s="14"/>
      <c r="AJ25" s="73"/>
    </row>
    <row r="26" spans="1:33" ht="15">
      <c r="A26" s="2"/>
      <c r="B26" s="2"/>
      <c r="C26" s="2"/>
      <c r="D26" s="2"/>
      <c r="E26" s="2"/>
      <c r="J26" s="2"/>
      <c r="K26" s="2"/>
      <c r="L26" s="32"/>
      <c r="M26" s="3"/>
      <c r="N26" s="3"/>
      <c r="O26" s="33"/>
      <c r="P26" s="2"/>
      <c r="Q26" s="2"/>
      <c r="R26" s="2"/>
      <c r="S26" s="2"/>
      <c r="T26" s="2"/>
      <c r="U26" s="2"/>
      <c r="X26" s="101" t="s">
        <v>61</v>
      </c>
      <c r="Y26" s="30" t="s">
        <v>70</v>
      </c>
      <c r="Z26" s="131" t="s">
        <v>24</v>
      </c>
      <c r="AA26" s="8">
        <f>VLOOKUP(Z26,R61:T101,3,0)</f>
        <v>0</v>
      </c>
      <c r="AB26" s="10" t="s">
        <v>17</v>
      </c>
      <c r="AC26" s="10"/>
      <c r="AD26" s="10"/>
      <c r="AE26" s="8">
        <f>AA26*AA14*AF4</f>
        <v>0</v>
      </c>
      <c r="AF26" s="10" t="s">
        <v>50</v>
      </c>
      <c r="AG26" s="14"/>
    </row>
    <row r="27" spans="1:33" ht="15">
      <c r="A27" s="2"/>
      <c r="B27" s="2"/>
      <c r="C27" s="2"/>
      <c r="D27" s="2"/>
      <c r="E27" s="2"/>
      <c r="J27" s="2"/>
      <c r="K27" s="2"/>
      <c r="L27" s="32"/>
      <c r="M27" s="3"/>
      <c r="N27" s="3"/>
      <c r="O27" s="33"/>
      <c r="P27" s="2"/>
      <c r="Q27" s="2"/>
      <c r="R27" s="2"/>
      <c r="S27" s="2"/>
      <c r="T27" s="2"/>
      <c r="U27" s="2"/>
      <c r="X27" s="10"/>
      <c r="Y27" s="10"/>
      <c r="Z27" s="5"/>
      <c r="AA27" s="10"/>
      <c r="AB27" s="10"/>
      <c r="AC27" s="10"/>
      <c r="AD27" s="10"/>
      <c r="AE27" s="8"/>
      <c r="AF27" s="10"/>
      <c r="AG27" s="14"/>
    </row>
    <row r="28" spans="1:33" ht="15">
      <c r="A28" s="2"/>
      <c r="B28" s="2"/>
      <c r="C28" s="2"/>
      <c r="D28" s="2"/>
      <c r="E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X28" s="10"/>
      <c r="Y28" s="10"/>
      <c r="Z28" s="7" t="s">
        <v>21</v>
      </c>
      <c r="AA28" s="16">
        <f>SUM(AE18:AE26)</f>
        <v>0</v>
      </c>
      <c r="AB28" s="10" t="s">
        <v>23</v>
      </c>
      <c r="AC28" s="10"/>
      <c r="AD28" s="10"/>
      <c r="AE28" s="10"/>
      <c r="AF28" s="10"/>
      <c r="AG28" s="14"/>
    </row>
    <row r="29" spans="24:33" ht="15">
      <c r="X29" s="10"/>
      <c r="Y29" s="10"/>
      <c r="Z29" s="7"/>
      <c r="AA29" s="16">
        <f>AA30-AA28</f>
        <v>0</v>
      </c>
      <c r="AB29" s="10" t="s">
        <v>25</v>
      </c>
      <c r="AC29" s="10"/>
      <c r="AD29" s="10"/>
      <c r="AE29" s="10"/>
      <c r="AF29" s="10"/>
      <c r="AG29" s="14"/>
    </row>
    <row r="30" spans="24:33" ht="15">
      <c r="X30" s="10"/>
      <c r="Y30" s="10"/>
      <c r="Z30" s="7"/>
      <c r="AA30" s="16">
        <f>ROUND(AA28*1.18,2)</f>
        <v>0</v>
      </c>
      <c r="AB30" s="10" t="s">
        <v>22</v>
      </c>
      <c r="AC30" s="10"/>
      <c r="AD30" s="10"/>
      <c r="AE30" s="10"/>
      <c r="AF30" s="10"/>
      <c r="AG30" s="14"/>
    </row>
    <row r="31" spans="24:33" ht="15">
      <c r="X31" s="14"/>
      <c r="Y31" s="14"/>
      <c r="Z31" s="6"/>
      <c r="AA31" s="14"/>
      <c r="AB31" s="14"/>
      <c r="AC31" s="14"/>
      <c r="AD31" s="14"/>
      <c r="AE31" s="14"/>
      <c r="AF31" s="14"/>
      <c r="AG31" s="14"/>
    </row>
    <row r="32" spans="24:33" ht="15">
      <c r="X32" s="20"/>
      <c r="Y32" s="20"/>
      <c r="Z32" s="20"/>
      <c r="AA32" s="20"/>
      <c r="AB32" s="20"/>
      <c r="AC32" s="20"/>
      <c r="AD32" s="20"/>
      <c r="AE32" s="20"/>
      <c r="AF32" s="20"/>
      <c r="AG32" s="20"/>
    </row>
    <row r="33" spans="24:33" ht="15"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24:33" ht="15">
      <c r="X34" s="20"/>
      <c r="Y34" s="158" t="s">
        <v>53</v>
      </c>
      <c r="Z34" s="158"/>
      <c r="AA34" s="158"/>
      <c r="AB34" s="20"/>
      <c r="AC34" s="20"/>
      <c r="AD34" s="20"/>
      <c r="AE34" s="156" t="s">
        <v>52</v>
      </c>
      <c r="AF34" s="156"/>
      <c r="AG34" s="20"/>
    </row>
    <row r="35" spans="24:33" ht="15">
      <c r="X35" s="20"/>
      <c r="Y35" s="20"/>
      <c r="Z35" s="20"/>
      <c r="AA35" s="20"/>
      <c r="AB35" s="20"/>
      <c r="AC35" s="20"/>
      <c r="AD35" s="20"/>
      <c r="AE35" s="20"/>
      <c r="AF35" s="20"/>
      <c r="AG35" s="20"/>
    </row>
    <row r="36" spans="24:33" ht="15">
      <c r="X36" s="20"/>
      <c r="Y36" s="158" t="s">
        <v>54</v>
      </c>
      <c r="Z36" s="158"/>
      <c r="AA36" s="158"/>
      <c r="AB36" s="20"/>
      <c r="AC36" s="156" t="s">
        <v>63</v>
      </c>
      <c r="AD36" s="154"/>
      <c r="AE36" s="154"/>
      <c r="AF36" s="154"/>
      <c r="AG36" s="20"/>
    </row>
    <row r="37" spans="24:33" ht="15">
      <c r="X37" s="20"/>
      <c r="Y37" s="100"/>
      <c r="Z37" s="100"/>
      <c r="AA37" s="100"/>
      <c r="AB37" s="20"/>
      <c r="AC37" s="20"/>
      <c r="AD37" s="20"/>
      <c r="AE37" s="104"/>
      <c r="AF37" s="104"/>
      <c r="AG37" s="20"/>
    </row>
    <row r="38" spans="24:33" ht="15"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24:33" ht="15">
      <c r="X39" s="155" t="s">
        <v>47</v>
      </c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24:33" ht="15">
      <c r="X40" s="155" t="s">
        <v>44</v>
      </c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24:33" ht="15">
      <c r="X41" s="155" t="s">
        <v>45</v>
      </c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24:33" ht="15">
      <c r="X42" s="155" t="s">
        <v>46</v>
      </c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24:33" ht="15">
      <c r="X43" s="155" t="s">
        <v>51</v>
      </c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24:33" ht="15"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8" ht="11.25" customHeight="1"/>
    <row r="49" ht="8.25" customHeight="1"/>
    <row r="50" spans="13:33" ht="42.75" customHeight="1">
      <c r="M50" s="92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24:33" ht="14.25" customHeight="1">
      <c r="X51" s="150" t="s">
        <v>295</v>
      </c>
      <c r="Y51" s="151"/>
      <c r="Z51" s="151"/>
      <c r="AA51" s="151"/>
      <c r="AB51" s="151"/>
      <c r="AC51" s="151"/>
      <c r="AD51" s="151"/>
      <c r="AE51" s="151"/>
      <c r="AF51" s="151"/>
      <c r="AG51" s="151"/>
    </row>
    <row r="52" spans="24:33" ht="19.5" customHeight="1">
      <c r="X52" s="184" t="s">
        <v>298</v>
      </c>
      <c r="Y52" s="153"/>
      <c r="Z52" s="153"/>
      <c r="AA52" s="153"/>
      <c r="AB52" s="153"/>
      <c r="AC52" s="153"/>
      <c r="AD52" s="153"/>
      <c r="AE52" s="153"/>
      <c r="AF52" s="153"/>
      <c r="AG52" s="153"/>
    </row>
    <row r="53" spans="24:33" ht="10.5" customHeight="1"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</row>
    <row r="54" spans="24:33" ht="10.5" customHeight="1"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</row>
    <row r="55" spans="24:33" ht="10.5" customHeight="1"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</row>
    <row r="56" spans="24:33" ht="10.5" customHeight="1"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</row>
    <row r="57" spans="24:33" ht="10.5" customHeight="1"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</row>
    <row r="58" spans="24:33" ht="15"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</row>
    <row r="59" spans="1:33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</row>
    <row r="60" spans="1:33" ht="15">
      <c r="A60" s="146" t="s">
        <v>1</v>
      </c>
      <c r="B60" s="146"/>
      <c r="C60" s="146"/>
      <c r="D60" s="147"/>
      <c r="E60" s="147"/>
      <c r="F60" s="148" t="s">
        <v>2</v>
      </c>
      <c r="G60" s="148"/>
      <c r="H60" s="148"/>
      <c r="I60" s="148"/>
      <c r="J60" s="74"/>
      <c r="K60" s="74"/>
      <c r="L60" s="148" t="s">
        <v>4</v>
      </c>
      <c r="M60" s="149"/>
      <c r="N60" s="149"/>
      <c r="O60" s="149"/>
      <c r="P60" s="74"/>
      <c r="Q60" s="74"/>
      <c r="R60" s="148" t="s">
        <v>5</v>
      </c>
      <c r="S60" s="149"/>
      <c r="T60" s="149"/>
      <c r="U60" s="74"/>
      <c r="V60" s="75"/>
      <c r="W60" s="75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</row>
    <row r="61" spans="1:33" ht="15">
      <c r="A61" s="76" t="s">
        <v>24</v>
      </c>
      <c r="B61" s="77"/>
      <c r="C61" s="77"/>
      <c r="D61" s="103"/>
      <c r="E61" s="103"/>
      <c r="F61" s="79" t="s">
        <v>24</v>
      </c>
      <c r="G61" s="79"/>
      <c r="H61" s="79"/>
      <c r="I61" s="79"/>
      <c r="J61" s="74"/>
      <c r="K61" s="74"/>
      <c r="L61" s="79" t="s">
        <v>24</v>
      </c>
      <c r="M61" s="76"/>
      <c r="N61" s="76"/>
      <c r="O61" s="76"/>
      <c r="P61" s="74"/>
      <c r="Q61" s="74"/>
      <c r="R61" s="93" t="s">
        <v>24</v>
      </c>
      <c r="S61" s="94"/>
      <c r="T61" s="94"/>
      <c r="U61" s="74"/>
      <c r="V61" s="75"/>
      <c r="W61" s="75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</row>
    <row r="62" spans="1:33" ht="15">
      <c r="A62" s="76" t="s">
        <v>26</v>
      </c>
      <c r="B62" s="80">
        <v>0.4</v>
      </c>
      <c r="C62" s="81"/>
      <c r="D62" s="103"/>
      <c r="E62" s="103"/>
      <c r="F62" s="82" t="s">
        <v>262</v>
      </c>
      <c r="G62" s="83" t="s">
        <v>3</v>
      </c>
      <c r="H62" s="83">
        <v>0.4</v>
      </c>
      <c r="I62" s="84">
        <f>124395/2</f>
        <v>62197.5</v>
      </c>
      <c r="J62" s="108"/>
      <c r="K62" s="74"/>
      <c r="L62" s="82" t="s">
        <v>30</v>
      </c>
      <c r="M62" s="85">
        <v>0.4</v>
      </c>
      <c r="N62" s="83" t="s">
        <v>3</v>
      </c>
      <c r="O62" s="84">
        <f>116944/2</f>
        <v>58472</v>
      </c>
      <c r="P62" s="74"/>
      <c r="Q62" s="74"/>
      <c r="R62" s="95" t="s">
        <v>6</v>
      </c>
      <c r="S62" s="96" t="s">
        <v>17</v>
      </c>
      <c r="T62" s="97">
        <f>673.6/2</f>
        <v>336.8</v>
      </c>
      <c r="U62" s="74"/>
      <c r="V62" s="75"/>
      <c r="W62" s="75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</row>
    <row r="63" spans="1:33" ht="15">
      <c r="A63" s="76" t="s">
        <v>100</v>
      </c>
      <c r="B63" s="80">
        <v>0.4</v>
      </c>
      <c r="C63" s="81">
        <v>946.46</v>
      </c>
      <c r="D63" s="103"/>
      <c r="E63" s="103"/>
      <c r="F63" s="82" t="s">
        <v>263</v>
      </c>
      <c r="G63" s="83" t="s">
        <v>3</v>
      </c>
      <c r="H63" s="83">
        <v>0.4</v>
      </c>
      <c r="I63" s="84">
        <f>132099/2</f>
        <v>66049.5</v>
      </c>
      <c r="J63" s="108"/>
      <c r="K63" s="74"/>
      <c r="L63" s="82" t="s">
        <v>104</v>
      </c>
      <c r="M63" s="85">
        <v>0.4</v>
      </c>
      <c r="N63" s="83" t="s">
        <v>3</v>
      </c>
      <c r="O63" s="84">
        <f>152673/2</f>
        <v>76336.5</v>
      </c>
      <c r="P63" s="74"/>
      <c r="Q63" s="74"/>
      <c r="R63" s="95" t="s">
        <v>7</v>
      </c>
      <c r="S63" s="96" t="s">
        <v>17</v>
      </c>
      <c r="T63" s="97">
        <f>465.6/2</f>
        <v>232.8</v>
      </c>
      <c r="U63" s="74"/>
      <c r="V63" s="75"/>
      <c r="W63" s="75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</row>
    <row r="64" spans="1:33" ht="15">
      <c r="A64" s="76" t="s">
        <v>101</v>
      </c>
      <c r="B64" s="80">
        <v>0.4</v>
      </c>
      <c r="C64" s="81">
        <v>40.47</v>
      </c>
      <c r="D64" s="103"/>
      <c r="E64" s="103"/>
      <c r="F64" s="82" t="s">
        <v>264</v>
      </c>
      <c r="G64" s="83" t="s">
        <v>3</v>
      </c>
      <c r="H64" s="83">
        <v>0.4</v>
      </c>
      <c r="I64" s="84">
        <f>139262/2</f>
        <v>69631</v>
      </c>
      <c r="J64" s="108"/>
      <c r="K64" s="74"/>
      <c r="L64" s="82" t="s">
        <v>31</v>
      </c>
      <c r="M64" s="85">
        <v>0.4</v>
      </c>
      <c r="N64" s="83" t="s">
        <v>3</v>
      </c>
      <c r="O64" s="84">
        <f>112362/2</f>
        <v>56181</v>
      </c>
      <c r="P64" s="74"/>
      <c r="Q64" s="74"/>
      <c r="R64" s="95" t="s">
        <v>8</v>
      </c>
      <c r="S64" s="96" t="s">
        <v>17</v>
      </c>
      <c r="T64" s="97">
        <v>219.55</v>
      </c>
      <c r="U64" s="74"/>
      <c r="V64" s="75"/>
      <c r="W64" s="75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</row>
    <row r="65" spans="1:33" ht="15">
      <c r="A65" s="76" t="s">
        <v>27</v>
      </c>
      <c r="B65" s="80">
        <v>0.4</v>
      </c>
      <c r="C65" s="81">
        <v>8.51</v>
      </c>
      <c r="D65" s="103"/>
      <c r="E65" s="103"/>
      <c r="F65" s="82" t="s">
        <v>244</v>
      </c>
      <c r="G65" s="83" t="s">
        <v>3</v>
      </c>
      <c r="H65" s="83">
        <v>0.4</v>
      </c>
      <c r="I65" s="84">
        <f>173410/2</f>
        <v>86705</v>
      </c>
      <c r="J65" s="108"/>
      <c r="K65" s="74"/>
      <c r="L65" s="82" t="s">
        <v>105</v>
      </c>
      <c r="M65" s="85">
        <v>0.4</v>
      </c>
      <c r="N65" s="83" t="s">
        <v>3</v>
      </c>
      <c r="O65" s="84">
        <f>158013/2</f>
        <v>79006.5</v>
      </c>
      <c r="P65" s="74"/>
      <c r="Q65" s="74"/>
      <c r="R65" s="95" t="s">
        <v>9</v>
      </c>
      <c r="S65" s="96" t="s">
        <v>17</v>
      </c>
      <c r="T65" s="97">
        <f>604.4/2</f>
        <v>302.2</v>
      </c>
      <c r="U65" s="74"/>
      <c r="V65" s="75"/>
      <c r="W65" s="75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</row>
    <row r="66" spans="1:33" ht="15">
      <c r="A66" s="76" t="s">
        <v>24</v>
      </c>
      <c r="B66" s="86"/>
      <c r="C66" s="81"/>
      <c r="D66" s="87"/>
      <c r="E66" s="88"/>
      <c r="F66" s="82" t="s">
        <v>265</v>
      </c>
      <c r="G66" s="83" t="s">
        <v>3</v>
      </c>
      <c r="H66" s="83">
        <v>0.4</v>
      </c>
      <c r="I66" s="84">
        <f>181189/2</f>
        <v>90594.5</v>
      </c>
      <c r="J66" s="108"/>
      <c r="K66" s="74"/>
      <c r="L66" s="82" t="s">
        <v>32</v>
      </c>
      <c r="M66" s="85">
        <v>0.4</v>
      </c>
      <c r="N66" s="83" t="s">
        <v>3</v>
      </c>
      <c r="O66" s="84">
        <f>120830/2</f>
        <v>60415</v>
      </c>
      <c r="P66" s="74"/>
      <c r="Q66" s="74"/>
      <c r="R66" s="95" t="s">
        <v>10</v>
      </c>
      <c r="S66" s="96" t="s">
        <v>17</v>
      </c>
      <c r="T66" s="97">
        <f>447.3/2</f>
        <v>223.65</v>
      </c>
      <c r="U66" s="74"/>
      <c r="V66" s="75"/>
      <c r="W66" s="75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</row>
    <row r="67" spans="1:33" ht="15">
      <c r="A67" s="76" t="s">
        <v>28</v>
      </c>
      <c r="B67" s="86" t="s">
        <v>0</v>
      </c>
      <c r="C67" s="81"/>
      <c r="D67" s="89"/>
      <c r="E67" s="88"/>
      <c r="F67" s="82" t="s">
        <v>266</v>
      </c>
      <c r="G67" s="83" t="s">
        <v>3</v>
      </c>
      <c r="H67" s="83">
        <v>0.4</v>
      </c>
      <c r="I67" s="84">
        <f>202833/2</f>
        <v>101416.5</v>
      </c>
      <c r="J67" s="108"/>
      <c r="K67" s="74"/>
      <c r="L67" s="82" t="s">
        <v>106</v>
      </c>
      <c r="M67" s="85">
        <v>0.4</v>
      </c>
      <c r="N67" s="83" t="s">
        <v>3</v>
      </c>
      <c r="O67" s="84">
        <f>174940/2</f>
        <v>87470</v>
      </c>
      <c r="P67" s="74"/>
      <c r="Q67" s="74"/>
      <c r="R67" s="95" t="s">
        <v>11</v>
      </c>
      <c r="S67" s="96" t="s">
        <v>17</v>
      </c>
      <c r="T67" s="97">
        <f>520.7/2</f>
        <v>260.35</v>
      </c>
      <c r="U67" s="74"/>
      <c r="V67" s="75"/>
      <c r="W67" s="75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</row>
    <row r="68" spans="1:33" ht="15">
      <c r="A68" s="76" t="s">
        <v>102</v>
      </c>
      <c r="B68" s="86" t="s">
        <v>0</v>
      </c>
      <c r="C68" s="81">
        <v>315.34</v>
      </c>
      <c r="D68" s="89"/>
      <c r="E68" s="88"/>
      <c r="F68" s="82" t="s">
        <v>267</v>
      </c>
      <c r="G68" s="83" t="s">
        <v>3</v>
      </c>
      <c r="H68" s="83">
        <v>0.4</v>
      </c>
      <c r="I68" s="84">
        <f>227638/2</f>
        <v>113819</v>
      </c>
      <c r="J68" s="108"/>
      <c r="K68" s="74"/>
      <c r="L68" s="82" t="s">
        <v>33</v>
      </c>
      <c r="M68" s="85">
        <v>0.4</v>
      </c>
      <c r="N68" s="83" t="s">
        <v>3</v>
      </c>
      <c r="O68" s="84">
        <f>129862/2</f>
        <v>64931</v>
      </c>
      <c r="P68" s="74"/>
      <c r="Q68" s="74"/>
      <c r="R68" s="95" t="s">
        <v>12</v>
      </c>
      <c r="S68" s="96" t="s">
        <v>17</v>
      </c>
      <c r="T68" s="97">
        <f>493.3/2</f>
        <v>246.65</v>
      </c>
      <c r="U68" s="74"/>
      <c r="V68" s="75"/>
      <c r="W68" s="75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</row>
    <row r="69" spans="1:33" ht="15">
      <c r="A69" s="76" t="s">
        <v>103</v>
      </c>
      <c r="B69" s="86" t="s">
        <v>0</v>
      </c>
      <c r="C69" s="81">
        <v>34.95</v>
      </c>
      <c r="D69" s="89"/>
      <c r="E69" s="88"/>
      <c r="F69" s="82" t="s">
        <v>159</v>
      </c>
      <c r="G69" s="83" t="s">
        <v>3</v>
      </c>
      <c r="H69" s="83">
        <v>0.4</v>
      </c>
      <c r="I69" s="84">
        <f>266387/2</f>
        <v>133193.5</v>
      </c>
      <c r="J69" s="108"/>
      <c r="K69" s="74"/>
      <c r="L69" s="82" t="s">
        <v>107</v>
      </c>
      <c r="M69" s="85">
        <v>0.4</v>
      </c>
      <c r="N69" s="83" t="s">
        <v>3</v>
      </c>
      <c r="O69" s="84">
        <f>193003/2</f>
        <v>96501.5</v>
      </c>
      <c r="P69" s="74"/>
      <c r="Q69" s="74"/>
      <c r="R69" s="95" t="s">
        <v>98</v>
      </c>
      <c r="S69" s="96" t="s">
        <v>17</v>
      </c>
      <c r="T69" s="97">
        <f>343.1/2</f>
        <v>171.55</v>
      </c>
      <c r="U69" s="74"/>
      <c r="V69" s="75"/>
      <c r="W69" s="75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</row>
    <row r="70" spans="1:33" ht="15">
      <c r="A70" s="76" t="s">
        <v>29</v>
      </c>
      <c r="B70" s="86" t="s">
        <v>0</v>
      </c>
      <c r="C70" s="81">
        <v>12.57</v>
      </c>
      <c r="D70" s="89"/>
      <c r="E70" s="88"/>
      <c r="F70" s="82" t="s">
        <v>268</v>
      </c>
      <c r="G70" s="83" t="s">
        <v>3</v>
      </c>
      <c r="H70" s="83">
        <v>0.4</v>
      </c>
      <c r="I70" s="84">
        <f>148106/2</f>
        <v>74053</v>
      </c>
      <c r="J70" s="108"/>
      <c r="K70" s="74"/>
      <c r="L70" s="82" t="s">
        <v>34</v>
      </c>
      <c r="M70" s="85">
        <v>0.4</v>
      </c>
      <c r="N70" s="83" t="s">
        <v>3</v>
      </c>
      <c r="O70" s="84">
        <f>138814/2</f>
        <v>69407</v>
      </c>
      <c r="P70" s="74"/>
      <c r="Q70" s="74"/>
      <c r="R70" s="95" t="s">
        <v>13</v>
      </c>
      <c r="S70" s="96" t="s">
        <v>17</v>
      </c>
      <c r="T70" s="97">
        <f>1469.6/2</f>
        <v>734.8</v>
      </c>
      <c r="U70" s="74"/>
      <c r="V70" s="75"/>
      <c r="W70" s="75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</row>
    <row r="71" spans="4:33" ht="15">
      <c r="D71" s="89"/>
      <c r="E71" s="88"/>
      <c r="F71" s="82" t="s">
        <v>269</v>
      </c>
      <c r="G71" s="83" t="s">
        <v>3</v>
      </c>
      <c r="H71" s="83">
        <v>0.4</v>
      </c>
      <c r="I71" s="84">
        <f>157413/2</f>
        <v>78706.5</v>
      </c>
      <c r="J71" s="74"/>
      <c r="K71" s="74"/>
      <c r="L71" s="82" t="s">
        <v>108</v>
      </c>
      <c r="M71" s="85">
        <v>0.4</v>
      </c>
      <c r="N71" s="83" t="s">
        <v>3</v>
      </c>
      <c r="O71" s="84">
        <f>210904/2</f>
        <v>105452</v>
      </c>
      <c r="P71" s="74"/>
      <c r="Q71" s="74"/>
      <c r="R71" s="95" t="s">
        <v>14</v>
      </c>
      <c r="S71" s="96" t="s">
        <v>17</v>
      </c>
      <c r="T71" s="97">
        <f>735.8/2</f>
        <v>367.9</v>
      </c>
      <c r="U71" s="74"/>
      <c r="V71" s="75"/>
      <c r="W71" s="75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</row>
    <row r="72" spans="1:33" ht="15">
      <c r="A72" s="76"/>
      <c r="B72" s="86"/>
      <c r="C72" s="81"/>
      <c r="D72" s="89"/>
      <c r="E72" s="88"/>
      <c r="F72" s="82" t="s">
        <v>270</v>
      </c>
      <c r="G72" s="83" t="s">
        <v>3</v>
      </c>
      <c r="H72" s="83">
        <v>0.4</v>
      </c>
      <c r="I72" s="84">
        <f>171484/2</f>
        <v>85742</v>
      </c>
      <c r="J72" s="74"/>
      <c r="K72" s="74"/>
      <c r="L72" s="82" t="s">
        <v>36</v>
      </c>
      <c r="M72" s="85">
        <v>0.4</v>
      </c>
      <c r="N72" s="83" t="s">
        <v>3</v>
      </c>
      <c r="O72" s="84">
        <f>136664/2</f>
        <v>68332</v>
      </c>
      <c r="P72" s="74"/>
      <c r="Q72" s="74"/>
      <c r="R72" s="95" t="s">
        <v>15</v>
      </c>
      <c r="S72" s="96" t="s">
        <v>17</v>
      </c>
      <c r="T72" s="97">
        <f>500.3/2</f>
        <v>250.15</v>
      </c>
      <c r="U72" s="74"/>
      <c r="V72" s="75"/>
      <c r="W72" s="75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</row>
    <row r="73" spans="1:33" ht="15">
      <c r="A73" s="76"/>
      <c r="B73" s="86"/>
      <c r="C73" s="81"/>
      <c r="D73" s="89"/>
      <c r="E73" s="88"/>
      <c r="F73" s="82" t="s">
        <v>271</v>
      </c>
      <c r="G73" s="83" t="s">
        <v>3</v>
      </c>
      <c r="H73" s="83">
        <v>0.4</v>
      </c>
      <c r="I73" s="84">
        <f>189268/2</f>
        <v>94634</v>
      </c>
      <c r="J73" s="74"/>
      <c r="K73" s="74"/>
      <c r="L73" s="82" t="s">
        <v>109</v>
      </c>
      <c r="M73" s="85">
        <v>0.4</v>
      </c>
      <c r="N73" s="83" t="s">
        <v>3</v>
      </c>
      <c r="O73" s="84">
        <f>206604/2</f>
        <v>103302</v>
      </c>
      <c r="P73" s="74"/>
      <c r="Q73" s="74"/>
      <c r="R73" s="95" t="s">
        <v>16</v>
      </c>
      <c r="S73" s="96" t="s">
        <v>17</v>
      </c>
      <c r="T73" s="97">
        <f>341.9/2</f>
        <v>170.95</v>
      </c>
      <c r="U73" s="74"/>
      <c r="V73" s="75"/>
      <c r="W73" s="75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</row>
    <row r="74" spans="1:33" ht="15">
      <c r="A74" s="76"/>
      <c r="B74" s="86"/>
      <c r="C74" s="81"/>
      <c r="D74" s="89"/>
      <c r="E74" s="88"/>
      <c r="F74" s="82" t="s">
        <v>272</v>
      </c>
      <c r="G74" s="83" t="s">
        <v>3</v>
      </c>
      <c r="H74" s="83">
        <v>0.4</v>
      </c>
      <c r="I74" s="84">
        <f>209160/2</f>
        <v>104580</v>
      </c>
      <c r="J74" s="74"/>
      <c r="K74" s="74"/>
      <c r="L74" s="82" t="s">
        <v>35</v>
      </c>
      <c r="M74" s="85">
        <v>0.4</v>
      </c>
      <c r="N74" s="83" t="s">
        <v>3</v>
      </c>
      <c r="O74" s="84">
        <f>149702/2</f>
        <v>74851</v>
      </c>
      <c r="P74" s="74"/>
      <c r="Q74" s="74"/>
      <c r="R74" s="95" t="s">
        <v>276</v>
      </c>
      <c r="S74" s="96" t="s">
        <v>17</v>
      </c>
      <c r="T74" s="97">
        <f>1270.3/2</f>
        <v>635.15</v>
      </c>
      <c r="U74" s="74"/>
      <c r="V74" s="75"/>
      <c r="W74" s="75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</row>
    <row r="75" spans="1:33" ht="15">
      <c r="A75" s="76"/>
      <c r="B75" s="86"/>
      <c r="C75" s="81"/>
      <c r="D75" s="89"/>
      <c r="E75" s="88"/>
      <c r="F75" s="82" t="s">
        <v>273</v>
      </c>
      <c r="G75" s="83" t="s">
        <v>3</v>
      </c>
      <c r="H75" s="83">
        <v>0.4</v>
      </c>
      <c r="I75" s="84">
        <f>231706/2</f>
        <v>115853</v>
      </c>
      <c r="J75" s="74"/>
      <c r="K75" s="74"/>
      <c r="L75" s="82" t="s">
        <v>110</v>
      </c>
      <c r="M75" s="85">
        <v>0.4</v>
      </c>
      <c r="N75" s="83" t="s">
        <v>3</v>
      </c>
      <c r="O75" s="84">
        <f>242976/2</f>
        <v>121488</v>
      </c>
      <c r="P75" s="74"/>
      <c r="Q75" s="74"/>
      <c r="R75" s="95" t="s">
        <v>277</v>
      </c>
      <c r="S75" s="96" t="s">
        <v>17</v>
      </c>
      <c r="T75" s="97">
        <f>953.3/2</f>
        <v>476.65</v>
      </c>
      <c r="U75" s="74"/>
      <c r="V75" s="75"/>
      <c r="W75" s="75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</row>
    <row r="76" spans="1:33" ht="15">
      <c r="A76" s="76"/>
      <c r="B76" s="86"/>
      <c r="C76" s="81"/>
      <c r="D76" s="89"/>
      <c r="E76" s="88"/>
      <c r="F76" s="82" t="s">
        <v>160</v>
      </c>
      <c r="G76" s="83" t="s">
        <v>3</v>
      </c>
      <c r="H76" s="83">
        <v>0.4</v>
      </c>
      <c r="I76" s="84">
        <f>133168/2</f>
        <v>66584</v>
      </c>
      <c r="J76" s="74"/>
      <c r="K76" s="74"/>
      <c r="L76" s="82" t="s">
        <v>99</v>
      </c>
      <c r="M76" s="85">
        <v>0.4</v>
      </c>
      <c r="N76" s="83" t="s">
        <v>3</v>
      </c>
      <c r="O76" s="84">
        <f>165533/2</f>
        <v>82766.5</v>
      </c>
      <c r="P76" s="74"/>
      <c r="Q76" s="74"/>
      <c r="R76" s="95" t="s">
        <v>278</v>
      </c>
      <c r="S76" s="96" t="s">
        <v>17</v>
      </c>
      <c r="T76" s="97">
        <f>652.1/2</f>
        <v>326.05</v>
      </c>
      <c r="U76" s="74"/>
      <c r="V76" s="75"/>
      <c r="W76" s="75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</row>
    <row r="77" spans="1:33" ht="15">
      <c r="A77" s="76"/>
      <c r="B77" s="86"/>
      <c r="C77" s="81"/>
      <c r="D77" s="89"/>
      <c r="E77" s="88"/>
      <c r="F77" s="82" t="s">
        <v>161</v>
      </c>
      <c r="G77" s="83" t="s">
        <v>3</v>
      </c>
      <c r="H77" s="83">
        <v>0.4</v>
      </c>
      <c r="I77" s="84">
        <f>147620/2</f>
        <v>73810</v>
      </c>
      <c r="J77" s="74"/>
      <c r="K77" s="74"/>
      <c r="L77" s="82" t="s">
        <v>111</v>
      </c>
      <c r="M77" s="85">
        <v>0.4</v>
      </c>
      <c r="N77" s="83" t="s">
        <v>3</v>
      </c>
      <c r="O77" s="84">
        <f>264348/2</f>
        <v>132174</v>
      </c>
      <c r="P77" s="74"/>
      <c r="Q77" s="74"/>
      <c r="R77" s="95" t="s">
        <v>279</v>
      </c>
      <c r="S77" s="96" t="s">
        <v>17</v>
      </c>
      <c r="T77" s="97">
        <f>494.3/2</f>
        <v>247.15</v>
      </c>
      <c r="U77" s="74"/>
      <c r="V77" s="75"/>
      <c r="W77" s="75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</row>
    <row r="78" spans="1:33" ht="15">
      <c r="A78" s="76"/>
      <c r="B78" s="86"/>
      <c r="C78" s="81"/>
      <c r="D78" s="89"/>
      <c r="E78" s="88"/>
      <c r="F78" s="82" t="s">
        <v>255</v>
      </c>
      <c r="G78" s="83" t="s">
        <v>3</v>
      </c>
      <c r="H78" s="83">
        <v>0.4</v>
      </c>
      <c r="I78" s="84">
        <f>88950/2</f>
        <v>44475</v>
      </c>
      <c r="J78" s="74"/>
      <c r="K78" s="74"/>
      <c r="L78" s="82" t="s">
        <v>133</v>
      </c>
      <c r="M78" s="85">
        <v>0.4</v>
      </c>
      <c r="N78" s="83" t="s">
        <v>3</v>
      </c>
      <c r="O78" s="84">
        <f>206332/2</f>
        <v>103166</v>
      </c>
      <c r="P78" s="74"/>
      <c r="Q78" s="74"/>
      <c r="R78" s="95" t="s">
        <v>280</v>
      </c>
      <c r="S78" s="96" t="s">
        <v>17</v>
      </c>
      <c r="T78" s="97">
        <f>492.4/2</f>
        <v>246.2</v>
      </c>
      <c r="U78" s="74"/>
      <c r="V78" s="75"/>
      <c r="W78" s="75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</row>
    <row r="79" spans="1:33" ht="15">
      <c r="A79" s="76"/>
      <c r="B79" s="86"/>
      <c r="C79" s="81"/>
      <c r="D79" s="89"/>
      <c r="E79" s="88"/>
      <c r="F79" s="82" t="s">
        <v>256</v>
      </c>
      <c r="G79" s="83" t="s">
        <v>3</v>
      </c>
      <c r="H79" s="83">
        <v>0.4</v>
      </c>
      <c r="I79" s="84">
        <f>51431/2</f>
        <v>25715.5</v>
      </c>
      <c r="J79" s="74"/>
      <c r="K79" s="74"/>
      <c r="L79" s="82" t="s">
        <v>134</v>
      </c>
      <c r="M79" s="85">
        <v>0.4</v>
      </c>
      <c r="N79" s="83" t="s">
        <v>3</v>
      </c>
      <c r="O79" s="84">
        <f>81325/2</f>
        <v>40662.5</v>
      </c>
      <c r="P79" s="74"/>
      <c r="Q79" s="74"/>
      <c r="R79" s="95" t="s">
        <v>281</v>
      </c>
      <c r="S79" s="96" t="s">
        <v>17</v>
      </c>
      <c r="T79" s="97">
        <f>362.8/2</f>
        <v>181.4</v>
      </c>
      <c r="U79" s="74"/>
      <c r="V79" s="75"/>
      <c r="W79" s="75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</row>
    <row r="80" spans="1:33" ht="15">
      <c r="A80" s="76"/>
      <c r="B80" s="86"/>
      <c r="C80" s="81"/>
      <c r="D80" s="89"/>
      <c r="E80" s="88"/>
      <c r="F80" s="82" t="s">
        <v>257</v>
      </c>
      <c r="G80" s="83" t="s">
        <v>3</v>
      </c>
      <c r="H80" s="83">
        <v>0.4</v>
      </c>
      <c r="I80" s="84">
        <f>60651/2</f>
        <v>30325.5</v>
      </c>
      <c r="J80" s="74"/>
      <c r="K80" s="74"/>
      <c r="L80" s="82" t="s">
        <v>135</v>
      </c>
      <c r="M80" s="85">
        <v>0.4</v>
      </c>
      <c r="N80" s="83" t="s">
        <v>3</v>
      </c>
      <c r="O80" s="84">
        <f>102354/2</f>
        <v>51177</v>
      </c>
      <c r="P80" s="74"/>
      <c r="Q80" s="74"/>
      <c r="R80" s="95" t="s">
        <v>282</v>
      </c>
      <c r="S80" s="96" t="s">
        <v>17</v>
      </c>
      <c r="T80" s="97">
        <f>283.7/2</f>
        <v>141.85</v>
      </c>
      <c r="U80" s="74"/>
      <c r="V80" s="75"/>
      <c r="W80" s="75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</row>
    <row r="81" spans="1:33" ht="15">
      <c r="A81" s="76"/>
      <c r="B81" s="86"/>
      <c r="C81" s="81"/>
      <c r="D81" s="89"/>
      <c r="E81" s="88"/>
      <c r="F81" s="82" t="s">
        <v>258</v>
      </c>
      <c r="G81" s="83" t="s">
        <v>3</v>
      </c>
      <c r="H81" s="83">
        <v>0.4</v>
      </c>
      <c r="I81" s="84">
        <f>74601/2</f>
        <v>37300.5</v>
      </c>
      <c r="J81" s="74"/>
      <c r="K81" s="74"/>
      <c r="L81" s="82" t="s">
        <v>136</v>
      </c>
      <c r="M81" s="85">
        <v>0.4</v>
      </c>
      <c r="N81" s="83" t="s">
        <v>3</v>
      </c>
      <c r="O81" s="84">
        <f>108616/2</f>
        <v>54308</v>
      </c>
      <c r="P81" s="74"/>
      <c r="Q81" s="74"/>
      <c r="R81" s="95" t="s">
        <v>283</v>
      </c>
      <c r="S81" s="96" t="s">
        <v>17</v>
      </c>
      <c r="T81" s="97">
        <f>1021.6/2</f>
        <v>510.8</v>
      </c>
      <c r="U81" s="74"/>
      <c r="V81" s="75"/>
      <c r="W81" s="75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</row>
    <row r="82" spans="1:33" ht="15">
      <c r="A82" s="76"/>
      <c r="B82" s="86"/>
      <c r="C82" s="81"/>
      <c r="D82" s="89"/>
      <c r="E82" s="88"/>
      <c r="F82" s="82" t="s">
        <v>259</v>
      </c>
      <c r="G82" s="83" t="s">
        <v>3</v>
      </c>
      <c r="H82" s="83">
        <v>0.4</v>
      </c>
      <c r="I82" s="84">
        <f>92206/2</f>
        <v>46103</v>
      </c>
      <c r="J82" s="74"/>
      <c r="K82" s="74"/>
      <c r="L82" s="82" t="s">
        <v>137</v>
      </c>
      <c r="M82" s="85">
        <v>0.4</v>
      </c>
      <c r="N82" s="83" t="s">
        <v>3</v>
      </c>
      <c r="O82" s="84">
        <f>120274/2</f>
        <v>60137</v>
      </c>
      <c r="P82" s="74"/>
      <c r="Q82" s="74"/>
      <c r="R82" s="95" t="s">
        <v>284</v>
      </c>
      <c r="S82" s="96" t="s">
        <v>17</v>
      </c>
      <c r="T82" s="97">
        <f>886.7/2</f>
        <v>443.35</v>
      </c>
      <c r="U82" s="74"/>
      <c r="V82" s="75"/>
      <c r="W82" s="75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</row>
    <row r="83" spans="1:33" ht="15">
      <c r="A83" s="76"/>
      <c r="B83" s="86"/>
      <c r="C83" s="81"/>
      <c r="D83" s="89"/>
      <c r="E83" s="88"/>
      <c r="F83" s="82" t="s">
        <v>260</v>
      </c>
      <c r="G83" s="83" t="s">
        <v>3</v>
      </c>
      <c r="H83" s="83">
        <v>0.4</v>
      </c>
      <c r="I83" s="84">
        <f>111912/2</f>
        <v>55956</v>
      </c>
      <c r="J83" s="74"/>
      <c r="K83" s="74"/>
      <c r="L83" s="82" t="s">
        <v>138</v>
      </c>
      <c r="M83" s="85">
        <v>0.4</v>
      </c>
      <c r="N83" s="83" t="s">
        <v>3</v>
      </c>
      <c r="O83" s="84">
        <f>141622/2</f>
        <v>70811</v>
      </c>
      <c r="P83" s="74"/>
      <c r="Q83" s="74"/>
      <c r="R83" s="95" t="s">
        <v>285</v>
      </c>
      <c r="S83" s="96" t="s">
        <v>17</v>
      </c>
      <c r="T83" s="97">
        <f>629.1/2</f>
        <v>314.55</v>
      </c>
      <c r="U83" s="74"/>
      <c r="V83" s="75"/>
      <c r="W83" s="75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</row>
    <row r="84" spans="1:33" ht="15">
      <c r="A84" s="76"/>
      <c r="B84" s="86"/>
      <c r="C84" s="81"/>
      <c r="D84" s="89"/>
      <c r="E84" s="88"/>
      <c r="F84" s="82" t="s">
        <v>261</v>
      </c>
      <c r="G84" s="83" t="s">
        <v>3</v>
      </c>
      <c r="H84" s="83">
        <v>0.4</v>
      </c>
      <c r="I84" s="84">
        <f>134247/2</f>
        <v>67123.5</v>
      </c>
      <c r="J84" s="74"/>
      <c r="K84" s="74"/>
      <c r="L84" s="82" t="s">
        <v>139</v>
      </c>
      <c r="M84" s="85">
        <v>0.4</v>
      </c>
      <c r="N84" s="83" t="s">
        <v>3</v>
      </c>
      <c r="O84" s="84">
        <f>142113.4/2</f>
        <v>71056.7</v>
      </c>
      <c r="P84" s="74"/>
      <c r="Q84" s="74"/>
      <c r="R84" s="95" t="s">
        <v>286</v>
      </c>
      <c r="S84" s="96" t="s">
        <v>17</v>
      </c>
      <c r="T84" s="97">
        <f>465.5/2</f>
        <v>232.75</v>
      </c>
      <c r="U84" s="74"/>
      <c r="V84" s="75"/>
      <c r="W84" s="75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</row>
    <row r="85" spans="1:23" ht="15">
      <c r="A85" s="126"/>
      <c r="B85" s="115"/>
      <c r="C85" s="116"/>
      <c r="D85" s="87"/>
      <c r="E85" s="88"/>
      <c r="F85" s="79" t="s">
        <v>24</v>
      </c>
      <c r="G85" s="83"/>
      <c r="H85" s="83"/>
      <c r="I85" s="84"/>
      <c r="J85" s="74"/>
      <c r="K85" s="74"/>
      <c r="L85" s="82" t="s">
        <v>140</v>
      </c>
      <c r="M85" s="85">
        <v>0.4</v>
      </c>
      <c r="N85" s="83" t="s">
        <v>3</v>
      </c>
      <c r="O85" s="84">
        <f>152554/2</f>
        <v>76277</v>
      </c>
      <c r="P85" s="74"/>
      <c r="Q85" s="74"/>
      <c r="R85" s="95" t="s">
        <v>287</v>
      </c>
      <c r="S85" s="96" t="s">
        <v>17</v>
      </c>
      <c r="T85" s="97">
        <f>324.7/2</f>
        <v>162.35</v>
      </c>
      <c r="U85" s="74"/>
      <c r="V85" s="75"/>
      <c r="W85" s="75"/>
    </row>
    <row r="86" spans="1:23" ht="15">
      <c r="A86" s="75"/>
      <c r="B86" s="75"/>
      <c r="C86" s="75"/>
      <c r="D86" s="75"/>
      <c r="E86" s="75"/>
      <c r="F86" s="82" t="s">
        <v>125</v>
      </c>
      <c r="G86" s="83" t="s">
        <v>3</v>
      </c>
      <c r="H86" s="83" t="s">
        <v>0</v>
      </c>
      <c r="I86" s="84">
        <f>242436/2</f>
        <v>121218</v>
      </c>
      <c r="J86" s="74"/>
      <c r="K86" s="74"/>
      <c r="L86" s="82" t="s">
        <v>141</v>
      </c>
      <c r="M86" s="85">
        <v>0.4</v>
      </c>
      <c r="N86" s="83" t="s">
        <v>3</v>
      </c>
      <c r="O86" s="84">
        <f>175637/2</f>
        <v>87818.5</v>
      </c>
      <c r="P86" s="74"/>
      <c r="Q86" s="74"/>
      <c r="R86" s="95" t="s">
        <v>231</v>
      </c>
      <c r="S86" s="96" t="s">
        <v>17</v>
      </c>
      <c r="T86" s="97">
        <f>1789.3/2</f>
        <v>894.65</v>
      </c>
      <c r="U86" s="74"/>
      <c r="V86" s="75"/>
      <c r="W86" s="75"/>
    </row>
    <row r="87" spans="1:23" ht="15">
      <c r="A87" s="75"/>
      <c r="B87" s="75"/>
      <c r="C87" s="75"/>
      <c r="D87" s="75"/>
      <c r="E87" s="75"/>
      <c r="F87" s="82" t="s">
        <v>126</v>
      </c>
      <c r="G87" s="83" t="s">
        <v>3</v>
      </c>
      <c r="H87" s="83" t="s">
        <v>0</v>
      </c>
      <c r="I87" s="84">
        <f>258025/2</f>
        <v>129012.5</v>
      </c>
      <c r="J87" s="74"/>
      <c r="K87" s="74"/>
      <c r="L87" s="82" t="s">
        <v>142</v>
      </c>
      <c r="M87" s="85">
        <v>0.4</v>
      </c>
      <c r="N87" s="83" t="s">
        <v>3</v>
      </c>
      <c r="O87" s="84">
        <f>184905/2</f>
        <v>92452.5</v>
      </c>
      <c r="P87" s="74"/>
      <c r="Q87" s="74"/>
      <c r="R87" s="95" t="s">
        <v>232</v>
      </c>
      <c r="S87" s="96" t="s">
        <v>17</v>
      </c>
      <c r="T87" s="97">
        <f>1136.9/2</f>
        <v>568.45</v>
      </c>
      <c r="U87" s="74"/>
      <c r="V87" s="75"/>
      <c r="W87" s="75"/>
    </row>
    <row r="88" spans="1:23" ht="15">
      <c r="A88" s="75"/>
      <c r="B88" s="75"/>
      <c r="C88" s="75"/>
      <c r="D88" s="75"/>
      <c r="E88" s="75"/>
      <c r="F88" s="82" t="s">
        <v>127</v>
      </c>
      <c r="G88" s="83" t="s">
        <v>3</v>
      </c>
      <c r="H88" s="83" t="s">
        <v>0</v>
      </c>
      <c r="I88" s="84">
        <f>273043/2</f>
        <v>136521.5</v>
      </c>
      <c r="J88" s="74"/>
      <c r="K88" s="74"/>
      <c r="L88" s="82" t="s">
        <v>143</v>
      </c>
      <c r="M88" s="85">
        <v>0.4</v>
      </c>
      <c r="N88" s="83" t="s">
        <v>3</v>
      </c>
      <c r="O88" s="84">
        <f>146549/2</f>
        <v>73274.5</v>
      </c>
      <c r="P88" s="74"/>
      <c r="Q88" s="74"/>
      <c r="R88" s="95" t="s">
        <v>233</v>
      </c>
      <c r="S88" s="96" t="s">
        <v>17</v>
      </c>
      <c r="T88" s="97">
        <f>853/2</f>
        <v>426.5</v>
      </c>
      <c r="U88" s="74"/>
      <c r="V88" s="75"/>
      <c r="W88" s="75"/>
    </row>
    <row r="89" spans="1:23" ht="15">
      <c r="A89" s="75"/>
      <c r="B89" s="75"/>
      <c r="C89" s="75"/>
      <c r="D89" s="75"/>
      <c r="E89" s="75"/>
      <c r="F89" s="82" t="s">
        <v>128</v>
      </c>
      <c r="G89" s="83" t="s">
        <v>3</v>
      </c>
      <c r="H89" s="83" t="s">
        <v>0</v>
      </c>
      <c r="I89" s="84">
        <f>298570/2</f>
        <v>149285</v>
      </c>
      <c r="J89" s="75"/>
      <c r="K89" s="75"/>
      <c r="L89" s="82" t="s">
        <v>144</v>
      </c>
      <c r="M89" s="85">
        <v>0.4</v>
      </c>
      <c r="N89" s="83" t="s">
        <v>3</v>
      </c>
      <c r="O89" s="84">
        <f>171446/2</f>
        <v>85723</v>
      </c>
      <c r="P89" s="75"/>
      <c r="Q89" s="75"/>
      <c r="R89" s="95" t="s">
        <v>234</v>
      </c>
      <c r="S89" s="96" t="s">
        <v>17</v>
      </c>
      <c r="T89" s="97">
        <f>606.4/2</f>
        <v>303.2</v>
      </c>
      <c r="U89" s="75"/>
      <c r="V89" s="75"/>
      <c r="W89" s="75"/>
    </row>
    <row r="90" spans="1:23" ht="15">
      <c r="A90" s="75"/>
      <c r="B90" s="75"/>
      <c r="C90" s="75"/>
      <c r="D90" s="75"/>
      <c r="E90" s="75"/>
      <c r="F90" s="82" t="s">
        <v>129</v>
      </c>
      <c r="G90" s="83" t="s">
        <v>3</v>
      </c>
      <c r="H90" s="83" t="s">
        <v>0</v>
      </c>
      <c r="I90" s="84">
        <f>318818/2</f>
        <v>159409</v>
      </c>
      <c r="J90" s="75"/>
      <c r="K90" s="75"/>
      <c r="L90" s="82" t="s">
        <v>145</v>
      </c>
      <c r="M90" s="85">
        <v>0.4</v>
      </c>
      <c r="N90" s="83" t="s">
        <v>3</v>
      </c>
      <c r="O90" s="84">
        <f>213227/2</f>
        <v>106613.5</v>
      </c>
      <c r="P90" s="75"/>
      <c r="Q90" s="75"/>
      <c r="R90" s="95" t="s">
        <v>235</v>
      </c>
      <c r="S90" s="96" t="s">
        <v>17</v>
      </c>
      <c r="T90" s="97">
        <f>1360.9/2</f>
        <v>680.45</v>
      </c>
      <c r="U90" s="75"/>
      <c r="V90" s="75"/>
      <c r="W90" s="75"/>
    </row>
    <row r="91" spans="1:23" ht="15">
      <c r="A91" s="75"/>
      <c r="B91" s="75"/>
      <c r="C91" s="75"/>
      <c r="D91" s="75"/>
      <c r="E91" s="75"/>
      <c r="F91" s="82" t="s">
        <v>130</v>
      </c>
      <c r="G91" s="83" t="s">
        <v>3</v>
      </c>
      <c r="H91" s="83" t="s">
        <v>0</v>
      </c>
      <c r="I91" s="84">
        <f>361775/2</f>
        <v>180887.5</v>
      </c>
      <c r="J91" s="75"/>
      <c r="K91" s="75"/>
      <c r="L91" s="82" t="s">
        <v>146</v>
      </c>
      <c r="M91" s="85">
        <v>0.4</v>
      </c>
      <c r="N91" s="83" t="s">
        <v>3</v>
      </c>
      <c r="O91" s="84">
        <f>269240/2</f>
        <v>134620</v>
      </c>
      <c r="P91" s="75"/>
      <c r="Q91" s="75"/>
      <c r="R91" s="95" t="s">
        <v>236</v>
      </c>
      <c r="S91" s="96" t="s">
        <v>17</v>
      </c>
      <c r="T91" s="97">
        <f>899.9/2</f>
        <v>449.95</v>
      </c>
      <c r="U91" s="75"/>
      <c r="V91" s="75"/>
      <c r="W91" s="75"/>
    </row>
    <row r="92" spans="1:23" ht="15">
      <c r="A92" s="75"/>
      <c r="B92" s="75"/>
      <c r="C92" s="75"/>
      <c r="D92" s="75"/>
      <c r="E92" s="75"/>
      <c r="F92" s="82" t="s">
        <v>131</v>
      </c>
      <c r="G92" s="83" t="s">
        <v>3</v>
      </c>
      <c r="H92" s="83" t="s">
        <v>0</v>
      </c>
      <c r="I92" s="84">
        <f>412539/2</f>
        <v>206269.5</v>
      </c>
      <c r="J92" s="75"/>
      <c r="K92" s="75"/>
      <c r="L92" s="82" t="s">
        <v>147</v>
      </c>
      <c r="M92" s="85">
        <v>0.4</v>
      </c>
      <c r="N92" s="83" t="s">
        <v>3</v>
      </c>
      <c r="O92" s="84">
        <f>252127/2</f>
        <v>126063.5</v>
      </c>
      <c r="P92" s="75"/>
      <c r="Q92" s="75"/>
      <c r="R92" s="95" t="s">
        <v>237</v>
      </c>
      <c r="S92" s="96" t="s">
        <v>17</v>
      </c>
      <c r="T92" s="97">
        <f>605.5/2</f>
        <v>302.75</v>
      </c>
      <c r="U92" s="75"/>
      <c r="V92" s="75"/>
      <c r="W92" s="75"/>
    </row>
    <row r="93" spans="1:23" ht="15">
      <c r="A93" s="75"/>
      <c r="B93" s="75"/>
      <c r="C93" s="75"/>
      <c r="D93" s="75"/>
      <c r="E93" s="75"/>
      <c r="F93" s="82" t="s">
        <v>132</v>
      </c>
      <c r="G93" s="83" t="s">
        <v>3</v>
      </c>
      <c r="H93" s="83" t="s">
        <v>0</v>
      </c>
      <c r="I93" s="84">
        <f>452917/2</f>
        <v>226458.5</v>
      </c>
      <c r="J93" s="75"/>
      <c r="K93" s="75"/>
      <c r="L93" s="82" t="s">
        <v>148</v>
      </c>
      <c r="M93" s="85">
        <v>0.4</v>
      </c>
      <c r="N93" s="83" t="s">
        <v>3</v>
      </c>
      <c r="O93" s="84">
        <f>299494/2</f>
        <v>149747</v>
      </c>
      <c r="P93" s="75"/>
      <c r="Q93" s="75"/>
      <c r="R93" s="95" t="s">
        <v>238</v>
      </c>
      <c r="S93" s="96" t="s">
        <v>17</v>
      </c>
      <c r="T93" s="97">
        <f>1161.6/2</f>
        <v>580.8</v>
      </c>
      <c r="U93" s="75"/>
      <c r="V93" s="75"/>
      <c r="W93" s="75"/>
    </row>
    <row r="94" spans="1:23" ht="15">
      <c r="A94" s="75"/>
      <c r="B94" s="75"/>
      <c r="C94" s="75"/>
      <c r="D94" s="75"/>
      <c r="E94" s="75"/>
      <c r="F94" s="82" t="s">
        <v>170</v>
      </c>
      <c r="G94" s="83" t="s">
        <v>3</v>
      </c>
      <c r="H94" s="83" t="s">
        <v>0</v>
      </c>
      <c r="I94" s="84">
        <f>151199/2</f>
        <v>75599.5</v>
      </c>
      <c r="J94" s="75"/>
      <c r="K94" s="75"/>
      <c r="L94" s="82" t="s">
        <v>149</v>
      </c>
      <c r="M94" s="85">
        <v>0.4</v>
      </c>
      <c r="N94" s="83" t="s">
        <v>3</v>
      </c>
      <c r="O94" s="84">
        <f>366136/2</f>
        <v>183068</v>
      </c>
      <c r="P94" s="75"/>
      <c r="Q94" s="75"/>
      <c r="R94" s="95" t="s">
        <v>151</v>
      </c>
      <c r="S94" s="96" t="s">
        <v>17</v>
      </c>
      <c r="T94" s="97">
        <f>12.2/2</f>
        <v>6.1</v>
      </c>
      <c r="U94" s="75"/>
      <c r="V94" s="75"/>
      <c r="W94" s="75"/>
    </row>
    <row r="95" spans="1:23" ht="180">
      <c r="A95" s="75"/>
      <c r="B95" s="75"/>
      <c r="C95" s="75"/>
      <c r="D95" s="75"/>
      <c r="E95" s="75"/>
      <c r="F95" s="82" t="s">
        <v>274</v>
      </c>
      <c r="G95" s="83" t="s">
        <v>3</v>
      </c>
      <c r="H95" s="83" t="s">
        <v>0</v>
      </c>
      <c r="I95" s="84">
        <f>167610/2</f>
        <v>83805</v>
      </c>
      <c r="J95" s="75"/>
      <c r="K95" s="75"/>
      <c r="L95" s="130" t="s">
        <v>288</v>
      </c>
      <c r="M95" s="85">
        <v>0.4</v>
      </c>
      <c r="N95" s="83" t="s">
        <v>3</v>
      </c>
      <c r="O95" s="128">
        <v>195220</v>
      </c>
      <c r="P95" s="75"/>
      <c r="Q95" s="75"/>
      <c r="R95" s="95" t="s">
        <v>152</v>
      </c>
      <c r="S95" s="96" t="s">
        <v>17</v>
      </c>
      <c r="T95" s="97">
        <f>8.7/2</f>
        <v>4.35</v>
      </c>
      <c r="U95" s="75"/>
      <c r="V95" s="75"/>
      <c r="W95" s="75"/>
    </row>
    <row r="96" spans="1:23" ht="15">
      <c r="A96" s="75"/>
      <c r="B96" s="75"/>
      <c r="C96" s="75"/>
      <c r="D96" s="75"/>
      <c r="E96" s="75"/>
      <c r="F96" s="82" t="s">
        <v>171</v>
      </c>
      <c r="G96" s="83" t="s">
        <v>3</v>
      </c>
      <c r="H96" s="83" t="s">
        <v>0</v>
      </c>
      <c r="I96" s="84">
        <f>177695/2</f>
        <v>88847.5</v>
      </c>
      <c r="J96" s="75"/>
      <c r="K96" s="75"/>
      <c r="L96" s="79" t="s">
        <v>24</v>
      </c>
      <c r="M96" s="83"/>
      <c r="N96" s="83"/>
      <c r="O96" s="84"/>
      <c r="P96" s="75"/>
      <c r="Q96" s="75"/>
      <c r="R96" s="125" t="s">
        <v>153</v>
      </c>
      <c r="S96" s="96" t="s">
        <v>17</v>
      </c>
      <c r="T96" s="109">
        <v>13.15</v>
      </c>
      <c r="U96" s="75"/>
      <c r="V96" s="75"/>
      <c r="W96" s="75"/>
    </row>
    <row r="97" spans="1:23" ht="15">
      <c r="A97" s="75"/>
      <c r="B97" s="75"/>
      <c r="C97" s="75"/>
      <c r="D97" s="75"/>
      <c r="E97" s="75"/>
      <c r="F97" s="82" t="s">
        <v>172</v>
      </c>
      <c r="G97" s="83" t="s">
        <v>3</v>
      </c>
      <c r="H97" s="83" t="s">
        <v>0</v>
      </c>
      <c r="I97" s="84">
        <f>198599/2</f>
        <v>99299.5</v>
      </c>
      <c r="J97" s="75"/>
      <c r="K97" s="75"/>
      <c r="L97" s="82" t="s">
        <v>176</v>
      </c>
      <c r="M97" s="83" t="s">
        <v>0</v>
      </c>
      <c r="N97" s="83" t="s">
        <v>3</v>
      </c>
      <c r="O97" s="84">
        <f>224284/2</f>
        <v>112142</v>
      </c>
      <c r="P97" s="75"/>
      <c r="Q97" s="75"/>
      <c r="R97" s="95" t="s">
        <v>154</v>
      </c>
      <c r="S97" s="96" t="s">
        <v>17</v>
      </c>
      <c r="T97" s="97">
        <f>103/2</f>
        <v>51.5</v>
      </c>
      <c r="U97" s="75"/>
      <c r="V97" s="75"/>
      <c r="W97" s="75"/>
    </row>
    <row r="98" spans="1:23" ht="15">
      <c r="A98" s="75"/>
      <c r="B98" s="75"/>
      <c r="C98" s="75"/>
      <c r="D98" s="75"/>
      <c r="E98" s="75"/>
      <c r="F98" s="82" t="s">
        <v>173</v>
      </c>
      <c r="G98" s="83" t="s">
        <v>3</v>
      </c>
      <c r="H98" s="83" t="s">
        <v>0</v>
      </c>
      <c r="I98" s="84">
        <f>218705/2</f>
        <v>109352.5</v>
      </c>
      <c r="J98" s="75"/>
      <c r="K98" s="75"/>
      <c r="L98" s="82" t="s">
        <v>177</v>
      </c>
      <c r="M98" s="83" t="s">
        <v>0</v>
      </c>
      <c r="N98" s="83" t="s">
        <v>3</v>
      </c>
      <c r="O98" s="84">
        <f>376891/2</f>
        <v>188445.5</v>
      </c>
      <c r="P98" s="75"/>
      <c r="Q98" s="75"/>
      <c r="R98" s="95" t="s">
        <v>155</v>
      </c>
      <c r="S98" s="96" t="s">
        <v>17</v>
      </c>
      <c r="T98" s="97">
        <f>134.3/2</f>
        <v>67.15</v>
      </c>
      <c r="U98" s="75"/>
      <c r="V98" s="75"/>
      <c r="W98" s="75"/>
    </row>
    <row r="99" spans="1:23" ht="15">
      <c r="A99" s="75"/>
      <c r="B99" s="75"/>
      <c r="C99" s="75"/>
      <c r="D99" s="75"/>
      <c r="E99" s="75"/>
      <c r="F99" s="82" t="s">
        <v>174</v>
      </c>
      <c r="G99" s="83" t="s">
        <v>3</v>
      </c>
      <c r="H99" s="83" t="s">
        <v>0</v>
      </c>
      <c r="I99" s="84">
        <f>318726/2</f>
        <v>159363</v>
      </c>
      <c r="J99" s="75"/>
      <c r="K99" s="75"/>
      <c r="L99" s="82" t="s">
        <v>178</v>
      </c>
      <c r="M99" s="83" t="s">
        <v>0</v>
      </c>
      <c r="N99" s="83" t="s">
        <v>3</v>
      </c>
      <c r="O99" s="84">
        <f>239257/2</f>
        <v>119628.5</v>
      </c>
      <c r="P99" s="75"/>
      <c r="Q99" s="75"/>
      <c r="R99" s="95" t="s">
        <v>156</v>
      </c>
      <c r="S99" s="96" t="s">
        <v>17</v>
      </c>
      <c r="T99" s="97">
        <f>3.6/2</f>
        <v>1.8</v>
      </c>
      <c r="U99" s="75"/>
      <c r="V99" s="75"/>
      <c r="W99" s="75"/>
    </row>
    <row r="100" spans="1:23" ht="15">
      <c r="A100" s="75"/>
      <c r="B100" s="75"/>
      <c r="C100" s="75"/>
      <c r="D100" s="75"/>
      <c r="E100" s="75"/>
      <c r="F100" s="82" t="s">
        <v>175</v>
      </c>
      <c r="G100" s="83" t="s">
        <v>3</v>
      </c>
      <c r="H100" s="83" t="s">
        <v>0</v>
      </c>
      <c r="I100" s="84">
        <f>140521/2</f>
        <v>70260.5</v>
      </c>
      <c r="J100" s="75"/>
      <c r="K100" s="75"/>
      <c r="L100" s="82" t="s">
        <v>179</v>
      </c>
      <c r="M100" s="83" t="s">
        <v>0</v>
      </c>
      <c r="N100" s="83" t="s">
        <v>3</v>
      </c>
      <c r="O100" s="84">
        <f>375850/2</f>
        <v>187925</v>
      </c>
      <c r="P100" s="75"/>
      <c r="Q100" s="75"/>
      <c r="R100" s="95" t="s">
        <v>239</v>
      </c>
      <c r="S100" s="96" t="s">
        <v>17</v>
      </c>
      <c r="T100" s="97">
        <f>703.1/2</f>
        <v>351.55</v>
      </c>
      <c r="U100" s="75"/>
      <c r="V100" s="75"/>
      <c r="W100" s="75"/>
    </row>
    <row r="101" spans="1:23" ht="15">
      <c r="A101" s="75"/>
      <c r="B101" s="75"/>
      <c r="C101" s="75"/>
      <c r="D101" s="75"/>
      <c r="E101" s="75"/>
      <c r="J101" s="75"/>
      <c r="K101" s="75"/>
      <c r="L101" s="82" t="s">
        <v>150</v>
      </c>
      <c r="M101" s="83" t="s">
        <v>0</v>
      </c>
      <c r="N101" s="83" t="s">
        <v>3</v>
      </c>
      <c r="O101" s="84">
        <f>253548/2</f>
        <v>126774</v>
      </c>
      <c r="P101" s="75"/>
      <c r="Q101" s="75"/>
      <c r="R101" s="95" t="s">
        <v>240</v>
      </c>
      <c r="S101" s="96" t="s">
        <v>17</v>
      </c>
      <c r="T101" s="97">
        <f>349.5/2</f>
        <v>174.75</v>
      </c>
      <c r="U101" s="75"/>
      <c r="V101" s="75"/>
      <c r="W101" s="75"/>
    </row>
    <row r="102" spans="1:23" ht="15">
      <c r="A102" s="75"/>
      <c r="B102" s="75"/>
      <c r="C102" s="75"/>
      <c r="D102" s="75"/>
      <c r="E102" s="75"/>
      <c r="J102" s="75"/>
      <c r="K102" s="75"/>
      <c r="L102" s="82" t="s">
        <v>181</v>
      </c>
      <c r="M102" s="83" t="s">
        <v>0</v>
      </c>
      <c r="N102" s="83" t="s">
        <v>3</v>
      </c>
      <c r="O102" s="84">
        <f>283092/2</f>
        <v>141546</v>
      </c>
      <c r="P102" s="75"/>
      <c r="Q102" s="75"/>
      <c r="R102" s="75"/>
      <c r="S102" s="75"/>
      <c r="T102" s="75"/>
      <c r="U102" s="75"/>
      <c r="V102" s="75"/>
      <c r="W102" s="75"/>
    </row>
    <row r="103" spans="1:23" ht="15">
      <c r="A103" s="75"/>
      <c r="B103" s="75"/>
      <c r="C103" s="75"/>
      <c r="D103" s="75"/>
      <c r="E103" s="75"/>
      <c r="J103" s="75"/>
      <c r="K103" s="75"/>
      <c r="L103" s="82" t="s">
        <v>182</v>
      </c>
      <c r="M103" s="83" t="s">
        <v>0</v>
      </c>
      <c r="N103" s="83" t="s">
        <v>3</v>
      </c>
      <c r="O103" s="84">
        <f>494509/2</f>
        <v>247254.5</v>
      </c>
      <c r="P103" s="75"/>
      <c r="Q103" s="75"/>
      <c r="R103" s="75"/>
      <c r="S103" s="75"/>
      <c r="T103" s="75"/>
      <c r="U103" s="75"/>
      <c r="V103" s="75"/>
      <c r="W103" s="75"/>
    </row>
    <row r="104" spans="1:23" ht="15">
      <c r="A104" s="75"/>
      <c r="B104" s="75"/>
      <c r="C104" s="75"/>
      <c r="D104" s="75"/>
      <c r="E104" s="75"/>
      <c r="J104" s="75"/>
      <c r="K104" s="75"/>
      <c r="L104" s="82" t="s">
        <v>183</v>
      </c>
      <c r="M104" s="83" t="s">
        <v>0</v>
      </c>
      <c r="N104" s="83" t="s">
        <v>3</v>
      </c>
      <c r="O104" s="84">
        <f>270257/2</f>
        <v>135128.5</v>
      </c>
      <c r="P104" s="75"/>
      <c r="Q104" s="75"/>
      <c r="R104" s="75"/>
      <c r="S104" s="75"/>
      <c r="T104" s="75"/>
      <c r="U104" s="75"/>
      <c r="V104" s="75"/>
      <c r="W104" s="75"/>
    </row>
    <row r="105" spans="1:23" ht="15">
      <c r="A105" s="75"/>
      <c r="B105" s="75"/>
      <c r="C105" s="75"/>
      <c r="D105" s="75"/>
      <c r="E105" s="75"/>
      <c r="J105" s="75"/>
      <c r="K105" s="75"/>
      <c r="L105" s="82" t="s">
        <v>184</v>
      </c>
      <c r="M105" s="83" t="s">
        <v>0</v>
      </c>
      <c r="N105" s="83" t="s">
        <v>3</v>
      </c>
      <c r="O105" s="84">
        <f>468837/2</f>
        <v>234418.5</v>
      </c>
      <c r="P105" s="75"/>
      <c r="Q105" s="75"/>
      <c r="R105" s="75"/>
      <c r="S105" s="75"/>
      <c r="T105" s="75"/>
      <c r="U105" s="75"/>
      <c r="V105" s="75"/>
      <c r="W105" s="75"/>
    </row>
    <row r="106" spans="1:23" ht="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82" t="s">
        <v>185</v>
      </c>
      <c r="M106" s="83" t="s">
        <v>0</v>
      </c>
      <c r="N106" s="83" t="s">
        <v>3</v>
      </c>
      <c r="O106" s="84">
        <f>293908/2</f>
        <v>146954</v>
      </c>
      <c r="P106" s="75"/>
      <c r="Q106" s="75"/>
      <c r="R106" s="75"/>
      <c r="S106" s="75"/>
      <c r="T106" s="75"/>
      <c r="U106" s="75"/>
      <c r="V106" s="75"/>
      <c r="W106" s="75"/>
    </row>
    <row r="107" spans="1:23" ht="15">
      <c r="A107" s="75"/>
      <c r="B107" s="75"/>
      <c r="C107" s="75"/>
      <c r="D107" s="75"/>
      <c r="E107" s="75"/>
      <c r="F107" s="117" t="s">
        <v>30</v>
      </c>
      <c r="G107" s="118">
        <v>0.4</v>
      </c>
      <c r="H107" s="119" t="s">
        <v>3</v>
      </c>
      <c r="I107" s="120">
        <v>116944</v>
      </c>
      <c r="J107" s="75"/>
      <c r="K107" s="75"/>
      <c r="L107" s="82" t="s">
        <v>186</v>
      </c>
      <c r="M107" s="83" t="s">
        <v>0</v>
      </c>
      <c r="N107" s="83" t="s">
        <v>3</v>
      </c>
      <c r="O107" s="84">
        <f>519264/2</f>
        <v>259632</v>
      </c>
      <c r="P107" s="75"/>
      <c r="Q107" s="75"/>
      <c r="R107" s="75"/>
      <c r="S107" s="75"/>
      <c r="T107" s="75"/>
      <c r="U107" s="75"/>
      <c r="V107" s="75"/>
      <c r="W107" s="75"/>
    </row>
    <row r="108" spans="1:23" ht="15">
      <c r="A108" s="75"/>
      <c r="B108" s="75"/>
      <c r="C108" s="75"/>
      <c r="D108" s="75"/>
      <c r="E108" s="75"/>
      <c r="F108" s="117" t="s">
        <v>31</v>
      </c>
      <c r="G108" s="118">
        <v>0.4</v>
      </c>
      <c r="H108" s="119" t="s">
        <v>3</v>
      </c>
      <c r="I108" s="120">
        <v>112362.03</v>
      </c>
      <c r="J108" s="75"/>
      <c r="K108" s="75"/>
      <c r="L108" s="82" t="s">
        <v>187</v>
      </c>
      <c r="M108" s="83" t="s">
        <v>0</v>
      </c>
      <c r="N108" s="83" t="s">
        <v>3</v>
      </c>
      <c r="O108" s="84">
        <f>331484/2</f>
        <v>165742</v>
      </c>
      <c r="P108" s="75"/>
      <c r="Q108" s="75"/>
      <c r="R108" s="75"/>
      <c r="S108" s="75"/>
      <c r="T108" s="75"/>
      <c r="U108" s="75"/>
      <c r="V108" s="75"/>
      <c r="W108" s="75"/>
    </row>
    <row r="109" spans="1:23" ht="15">
      <c r="A109" s="75"/>
      <c r="B109" s="75"/>
      <c r="C109" s="75"/>
      <c r="D109" s="75"/>
      <c r="E109" s="75"/>
      <c r="F109" s="117" t="s">
        <v>32</v>
      </c>
      <c r="G109" s="118">
        <v>0.4</v>
      </c>
      <c r="H109" s="119" t="s">
        <v>3</v>
      </c>
      <c r="I109" s="120">
        <v>120830.02</v>
      </c>
      <c r="J109" s="75"/>
      <c r="K109" s="75"/>
      <c r="L109" s="82" t="s">
        <v>188</v>
      </c>
      <c r="M109" s="83" t="s">
        <v>0</v>
      </c>
      <c r="N109" s="83" t="s">
        <v>3</v>
      </c>
      <c r="O109" s="84">
        <f>591292/2</f>
        <v>295646</v>
      </c>
      <c r="P109" s="75"/>
      <c r="Q109" s="75"/>
      <c r="R109" s="75"/>
      <c r="S109" s="75"/>
      <c r="T109" s="75"/>
      <c r="U109" s="75"/>
      <c r="V109" s="75"/>
      <c r="W109" s="75"/>
    </row>
    <row r="110" spans="1:23" ht="15">
      <c r="A110" s="75"/>
      <c r="B110" s="75"/>
      <c r="C110" s="75"/>
      <c r="D110" s="75"/>
      <c r="E110" s="75"/>
      <c r="F110" s="117" t="s">
        <v>33</v>
      </c>
      <c r="G110" s="118">
        <v>0.4</v>
      </c>
      <c r="H110" s="119" t="s">
        <v>3</v>
      </c>
      <c r="I110" s="120">
        <v>129862.03</v>
      </c>
      <c r="J110" s="75"/>
      <c r="K110" s="75"/>
      <c r="L110" s="82" t="s">
        <v>189</v>
      </c>
      <c r="M110" s="83" t="s">
        <v>0</v>
      </c>
      <c r="N110" s="83" t="s">
        <v>3</v>
      </c>
      <c r="O110" s="84">
        <f>1066846/2</f>
        <v>533423</v>
      </c>
      <c r="P110" s="75"/>
      <c r="Q110" s="75"/>
      <c r="U110" s="75"/>
      <c r="V110" s="75"/>
      <c r="W110" s="75"/>
    </row>
    <row r="111" spans="1:23" ht="15">
      <c r="A111" s="75"/>
      <c r="B111" s="75"/>
      <c r="C111" s="75"/>
      <c r="D111" s="75"/>
      <c r="E111" s="75"/>
      <c r="F111" s="117" t="s">
        <v>34</v>
      </c>
      <c r="G111" s="118">
        <v>0.4</v>
      </c>
      <c r="H111" s="119" t="s">
        <v>3</v>
      </c>
      <c r="I111" s="120">
        <v>138814</v>
      </c>
      <c r="J111" s="75"/>
      <c r="K111" s="75"/>
      <c r="L111" s="82" t="s">
        <v>190</v>
      </c>
      <c r="M111" s="83" t="s">
        <v>0</v>
      </c>
      <c r="N111" s="83" t="s">
        <v>3</v>
      </c>
      <c r="O111" s="129">
        <f>216761/2</f>
        <v>108380.5</v>
      </c>
      <c r="P111" s="75"/>
      <c r="Q111" s="75"/>
      <c r="U111" s="75"/>
      <c r="V111" s="75"/>
      <c r="W111" s="75"/>
    </row>
    <row r="112" spans="1:22" ht="15">
      <c r="A112" s="72"/>
      <c r="B112" s="72"/>
      <c r="C112" s="72"/>
      <c r="D112" s="72"/>
      <c r="E112" s="72"/>
      <c r="F112" s="117" t="s">
        <v>36</v>
      </c>
      <c r="G112" s="118">
        <v>0.4</v>
      </c>
      <c r="H112" s="119" t="s">
        <v>3</v>
      </c>
      <c r="I112" s="120">
        <v>136664.02</v>
      </c>
      <c r="J112" s="72"/>
      <c r="K112" s="72"/>
      <c r="L112" s="82" t="s">
        <v>191</v>
      </c>
      <c r="M112" s="83" t="s">
        <v>0</v>
      </c>
      <c r="N112" s="83" t="s">
        <v>3</v>
      </c>
      <c r="O112" s="129">
        <f>232810/2</f>
        <v>116405</v>
      </c>
      <c r="P112" s="72"/>
      <c r="Q112" s="72"/>
      <c r="R112" s="95"/>
      <c r="S112" s="96"/>
      <c r="T112" s="121"/>
      <c r="U112" s="72"/>
      <c r="V112" s="72"/>
    </row>
    <row r="113" spans="1:22" ht="15">
      <c r="A113" s="72"/>
      <c r="B113" s="72"/>
      <c r="C113" s="72"/>
      <c r="D113" s="72"/>
      <c r="E113" s="72"/>
      <c r="F113" s="117" t="s">
        <v>35</v>
      </c>
      <c r="G113" s="118">
        <v>0.4</v>
      </c>
      <c r="H113" s="119" t="s">
        <v>3</v>
      </c>
      <c r="I113" s="120">
        <v>149702</v>
      </c>
      <c r="J113" s="72"/>
      <c r="K113" s="72"/>
      <c r="L113" s="82" t="s">
        <v>192</v>
      </c>
      <c r="M113" s="83" t="s">
        <v>0</v>
      </c>
      <c r="N113" s="83" t="s">
        <v>3</v>
      </c>
      <c r="O113" s="129">
        <f>237946/2</f>
        <v>118973</v>
      </c>
      <c r="P113" s="72"/>
      <c r="Q113" s="72"/>
      <c r="U113" s="72"/>
      <c r="V113" s="72"/>
    </row>
    <row r="114" spans="1:22" ht="15">
      <c r="A114" s="72"/>
      <c r="B114" s="72"/>
      <c r="C114" s="72"/>
      <c r="D114" s="72"/>
      <c r="E114" s="72"/>
      <c r="F114" s="117" t="s">
        <v>99</v>
      </c>
      <c r="G114" s="118">
        <v>0.4</v>
      </c>
      <c r="H114" s="119" t="s">
        <v>3</v>
      </c>
      <c r="I114" s="120">
        <v>165533</v>
      </c>
      <c r="J114" s="72"/>
      <c r="K114" s="72"/>
      <c r="L114" s="82" t="s">
        <v>193</v>
      </c>
      <c r="M114" s="83" t="s">
        <v>0</v>
      </c>
      <c r="N114" s="83" t="s">
        <v>3</v>
      </c>
      <c r="O114" s="129">
        <f>242828/2</f>
        <v>121414</v>
      </c>
      <c r="P114" s="72"/>
      <c r="Q114" s="72"/>
      <c r="U114" s="72"/>
      <c r="V114" s="72"/>
    </row>
    <row r="115" spans="1:22" ht="15">
      <c r="A115" s="72"/>
      <c r="B115" s="72"/>
      <c r="C115" s="72"/>
      <c r="D115" s="72"/>
      <c r="E115" s="72"/>
      <c r="F115" s="117"/>
      <c r="G115" s="118"/>
      <c r="H115" s="119"/>
      <c r="I115" s="120"/>
      <c r="J115" s="72"/>
      <c r="K115" s="72"/>
      <c r="L115" s="82" t="s">
        <v>194</v>
      </c>
      <c r="M115" s="83" t="s">
        <v>0</v>
      </c>
      <c r="N115" s="83" t="s">
        <v>3</v>
      </c>
      <c r="O115" s="129">
        <f>257373/2</f>
        <v>128686.5</v>
      </c>
      <c r="P115" s="72"/>
      <c r="Q115" s="72"/>
      <c r="U115" s="72"/>
      <c r="V115" s="72"/>
    </row>
    <row r="116" spans="1:22" ht="15">
      <c r="A116" s="72"/>
      <c r="B116" s="72"/>
      <c r="C116" s="72"/>
      <c r="D116" s="72"/>
      <c r="E116" s="72"/>
      <c r="F116" s="117"/>
      <c r="G116" s="118"/>
      <c r="H116" s="119"/>
      <c r="I116" s="120"/>
      <c r="J116" s="72"/>
      <c r="K116" s="72"/>
      <c r="L116" s="82" t="s">
        <v>195</v>
      </c>
      <c r="M116" s="83" t="s">
        <v>0</v>
      </c>
      <c r="N116" s="83" t="s">
        <v>3</v>
      </c>
      <c r="O116" s="129">
        <f>325207/2</f>
        <v>162603.5</v>
      </c>
      <c r="P116" s="72"/>
      <c r="Q116" s="72"/>
      <c r="U116" s="72"/>
      <c r="V116" s="72"/>
    </row>
    <row r="117" spans="1:22" ht="15">
      <c r="A117" s="72"/>
      <c r="B117" s="72"/>
      <c r="C117" s="72"/>
      <c r="D117" s="72"/>
      <c r="E117" s="72"/>
      <c r="F117" s="117" t="s">
        <v>24</v>
      </c>
      <c r="G117" s="119"/>
      <c r="H117" s="119"/>
      <c r="I117" s="120"/>
      <c r="J117" s="72"/>
      <c r="K117" s="72"/>
      <c r="L117" s="82" t="s">
        <v>275</v>
      </c>
      <c r="M117" s="83" t="s">
        <v>0</v>
      </c>
      <c r="N117" s="83" t="s">
        <v>3</v>
      </c>
      <c r="O117" s="129">
        <f>491736/2</f>
        <v>245868</v>
      </c>
      <c r="P117" s="72"/>
      <c r="Q117" s="72"/>
      <c r="R117" s="72"/>
      <c r="S117" s="72"/>
      <c r="T117" s="72"/>
      <c r="U117" s="72"/>
      <c r="V117" s="72"/>
    </row>
    <row r="118" spans="1:22" ht="15">
      <c r="A118" s="72"/>
      <c r="B118" s="72"/>
      <c r="C118" s="72"/>
      <c r="D118" s="72"/>
      <c r="E118" s="72"/>
      <c r="F118" s="117" t="s">
        <v>37</v>
      </c>
      <c r="G118" s="119" t="s">
        <v>0</v>
      </c>
      <c r="H118" s="119" t="s">
        <v>3</v>
      </c>
      <c r="I118" s="120">
        <v>300774</v>
      </c>
      <c r="J118" s="72"/>
      <c r="K118" s="72"/>
      <c r="L118" s="82" t="s">
        <v>197</v>
      </c>
      <c r="M118" s="83" t="s">
        <v>0</v>
      </c>
      <c r="N118" s="83" t="s">
        <v>3</v>
      </c>
      <c r="O118" s="128">
        <f>237997/2</f>
        <v>118998.5</v>
      </c>
      <c r="P118" s="72"/>
      <c r="Q118" s="72"/>
      <c r="R118" s="72"/>
      <c r="S118" s="72"/>
      <c r="T118" s="72"/>
      <c r="U118" s="72"/>
      <c r="V118" s="72"/>
    </row>
    <row r="119" spans="1:22" ht="15">
      <c r="A119" s="72"/>
      <c r="B119" s="72"/>
      <c r="C119" s="72"/>
      <c r="D119" s="72"/>
      <c r="E119" s="72"/>
      <c r="F119" s="117" t="s">
        <v>38</v>
      </c>
      <c r="G119" s="119" t="s">
        <v>0</v>
      </c>
      <c r="H119" s="119" t="s">
        <v>3</v>
      </c>
      <c r="I119" s="120">
        <v>300449</v>
      </c>
      <c r="J119" s="72"/>
      <c r="K119" s="72"/>
      <c r="L119" s="82" t="s">
        <v>198</v>
      </c>
      <c r="M119" s="83" t="s">
        <v>0</v>
      </c>
      <c r="N119" s="83" t="s">
        <v>3</v>
      </c>
      <c r="O119" s="128">
        <f>252410/2</f>
        <v>126205</v>
      </c>
      <c r="P119" s="72"/>
      <c r="Q119" s="72"/>
      <c r="R119" s="72"/>
      <c r="S119" s="72"/>
      <c r="T119" s="72"/>
      <c r="U119" s="72"/>
      <c r="V119" s="72"/>
    </row>
    <row r="120" spans="1:22" ht="15">
      <c r="A120" s="72"/>
      <c r="B120" s="72"/>
      <c r="C120" s="72"/>
      <c r="D120" s="72"/>
      <c r="E120" s="72"/>
      <c r="F120" s="117" t="s">
        <v>39</v>
      </c>
      <c r="G120" s="119" t="s">
        <v>0</v>
      </c>
      <c r="H120" s="119" t="s">
        <v>3</v>
      </c>
      <c r="I120" s="120">
        <v>359582</v>
      </c>
      <c r="J120" s="72"/>
      <c r="K120" s="72"/>
      <c r="L120" s="82" t="s">
        <v>199</v>
      </c>
      <c r="M120" s="83" t="s">
        <v>0</v>
      </c>
      <c r="N120" s="83" t="s">
        <v>3</v>
      </c>
      <c r="O120" s="128">
        <f>271688/2</f>
        <v>135844</v>
      </c>
      <c r="P120" s="72"/>
      <c r="Q120" s="72"/>
      <c r="R120" s="72"/>
      <c r="S120" s="72"/>
      <c r="T120" s="72"/>
      <c r="U120" s="72"/>
      <c r="V120" s="72"/>
    </row>
    <row r="121" spans="1:22" ht="15">
      <c r="A121" s="72"/>
      <c r="B121" s="72"/>
      <c r="C121" s="72"/>
      <c r="D121" s="72"/>
      <c r="E121" s="72"/>
      <c r="F121" s="117" t="s">
        <v>40</v>
      </c>
      <c r="G121" s="119" t="s">
        <v>0</v>
      </c>
      <c r="H121" s="119" t="s">
        <v>3</v>
      </c>
      <c r="I121" s="120">
        <v>346747</v>
      </c>
      <c r="J121" s="72"/>
      <c r="K121" s="72"/>
      <c r="L121" s="82" t="s">
        <v>200</v>
      </c>
      <c r="M121" s="83" t="s">
        <v>0</v>
      </c>
      <c r="N121" s="83" t="s">
        <v>3</v>
      </c>
      <c r="O121" s="84">
        <f>282398/2</f>
        <v>141199</v>
      </c>
      <c r="P121" s="72"/>
      <c r="Q121" s="72"/>
      <c r="R121" s="72"/>
      <c r="S121" s="72"/>
      <c r="T121" s="72"/>
      <c r="U121" s="72"/>
      <c r="V121" s="72"/>
    </row>
    <row r="122" spans="1:22" ht="15">
      <c r="A122" s="72"/>
      <c r="B122" s="72"/>
      <c r="C122" s="72"/>
      <c r="D122" s="72"/>
      <c r="E122" s="72"/>
      <c r="F122" s="117" t="s">
        <v>41</v>
      </c>
      <c r="G122" s="119" t="s">
        <v>0</v>
      </c>
      <c r="H122" s="119" t="s">
        <v>3</v>
      </c>
      <c r="I122" s="120">
        <v>370398</v>
      </c>
      <c r="J122" s="72"/>
      <c r="K122" s="72"/>
      <c r="L122" s="82" t="s">
        <v>201</v>
      </c>
      <c r="M122" s="83" t="s">
        <v>0</v>
      </c>
      <c r="N122" s="83" t="s">
        <v>3</v>
      </c>
      <c r="O122" s="84">
        <f>304124/2</f>
        <v>152062</v>
      </c>
      <c r="P122" s="72"/>
      <c r="Q122" s="72"/>
      <c r="R122" s="72"/>
      <c r="S122" s="72"/>
      <c r="T122" s="72"/>
      <c r="U122" s="72"/>
      <c r="V122" s="72"/>
    </row>
    <row r="123" spans="1:22" ht="15">
      <c r="A123" s="72"/>
      <c r="B123" s="72"/>
      <c r="C123" s="72"/>
      <c r="D123" s="72"/>
      <c r="E123" s="72"/>
      <c r="F123" s="117" t="s">
        <v>42</v>
      </c>
      <c r="G123" s="119" t="s">
        <v>0</v>
      </c>
      <c r="H123" s="119" t="s">
        <v>3</v>
      </c>
      <c r="I123" s="120">
        <v>407974</v>
      </c>
      <c r="J123" s="72"/>
      <c r="K123" s="72"/>
      <c r="L123" s="82" t="s">
        <v>202</v>
      </c>
      <c r="M123" s="83" t="s">
        <v>0</v>
      </c>
      <c r="N123" s="83" t="s">
        <v>3</v>
      </c>
      <c r="O123" s="84">
        <f>314834/2</f>
        <v>157417</v>
      </c>
      <c r="P123" s="72"/>
      <c r="Q123" s="72"/>
      <c r="R123" s="72"/>
      <c r="S123" s="72"/>
      <c r="T123" s="72"/>
      <c r="U123" s="72"/>
      <c r="V123" s="72"/>
    </row>
    <row r="124" spans="1:22" ht="15">
      <c r="A124" s="72"/>
      <c r="B124" s="72"/>
      <c r="C124" s="72"/>
      <c r="D124" s="72"/>
      <c r="E124" s="72"/>
      <c r="F124" s="117" t="s">
        <v>43</v>
      </c>
      <c r="G124" s="119" t="s">
        <v>0</v>
      </c>
      <c r="H124" s="119" t="s">
        <v>3</v>
      </c>
      <c r="I124" s="120">
        <v>1219826</v>
      </c>
      <c r="J124" s="72"/>
      <c r="K124" s="72"/>
      <c r="L124" s="82" t="s">
        <v>203</v>
      </c>
      <c r="M124" s="83" t="s">
        <v>0</v>
      </c>
      <c r="N124" s="83" t="s">
        <v>3</v>
      </c>
      <c r="O124" s="84">
        <f>332582/2</f>
        <v>166291</v>
      </c>
      <c r="P124" s="72"/>
      <c r="Q124" s="72"/>
      <c r="R124" s="72"/>
      <c r="S124" s="72"/>
      <c r="T124" s="72"/>
      <c r="U124" s="72"/>
      <c r="V124" s="72"/>
    </row>
    <row r="125" spans="1:22" ht="1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82" t="s">
        <v>204</v>
      </c>
      <c r="M125" s="83" t="s">
        <v>0</v>
      </c>
      <c r="N125" s="83" t="s">
        <v>3</v>
      </c>
      <c r="O125" s="84">
        <f>364406/2</f>
        <v>182203</v>
      </c>
      <c r="P125" s="72"/>
      <c r="Q125" s="72"/>
      <c r="R125" s="72"/>
      <c r="S125" s="72"/>
      <c r="T125" s="72"/>
      <c r="U125" s="72"/>
      <c r="V125" s="72"/>
    </row>
    <row r="126" spans="1:22" ht="1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82" t="s">
        <v>205</v>
      </c>
      <c r="M126" s="83" t="s">
        <v>0</v>
      </c>
      <c r="N126" s="83" t="s">
        <v>3</v>
      </c>
      <c r="O126" s="84">
        <f>421628/2</f>
        <v>210814</v>
      </c>
      <c r="P126" s="72"/>
      <c r="Q126" s="72"/>
      <c r="R126" s="72"/>
      <c r="S126" s="72"/>
      <c r="T126" s="72"/>
      <c r="U126" s="72"/>
      <c r="V126" s="72"/>
    </row>
    <row r="127" spans="1:22" ht="1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82" t="s">
        <v>206</v>
      </c>
      <c r="M127" s="83" t="s">
        <v>0</v>
      </c>
      <c r="N127" s="83" t="s">
        <v>3</v>
      </c>
      <c r="O127" s="84">
        <f>578535/2</f>
        <v>289267.5</v>
      </c>
      <c r="P127" s="72"/>
      <c r="Q127" s="72"/>
      <c r="R127" s="72"/>
      <c r="S127" s="72"/>
      <c r="T127" s="72"/>
      <c r="U127" s="72"/>
      <c r="V127" s="72"/>
    </row>
    <row r="128" spans="1:22" ht="1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82" t="s">
        <v>207</v>
      </c>
      <c r="M128" s="83" t="s">
        <v>0</v>
      </c>
      <c r="N128" s="83" t="s">
        <v>3</v>
      </c>
      <c r="O128" s="84">
        <f>678118/2</f>
        <v>339059</v>
      </c>
      <c r="P128" s="72"/>
      <c r="Q128" s="72"/>
      <c r="R128" s="72"/>
      <c r="S128" s="72"/>
      <c r="T128" s="72"/>
      <c r="U128" s="72"/>
      <c r="V128" s="72"/>
    </row>
    <row r="129" spans="1:22" ht="1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82" t="s">
        <v>208</v>
      </c>
      <c r="M129" s="83" t="s">
        <v>0</v>
      </c>
      <c r="N129" s="83" t="s">
        <v>3</v>
      </c>
      <c r="O129" s="84">
        <f>266560/2</f>
        <v>133280</v>
      </c>
      <c r="P129" s="72"/>
      <c r="Q129" s="72"/>
      <c r="R129" s="72"/>
      <c r="S129" s="72"/>
      <c r="T129" s="72"/>
      <c r="U129" s="72"/>
      <c r="V129" s="72"/>
    </row>
    <row r="130" spans="1:22" ht="1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82" t="s">
        <v>209</v>
      </c>
      <c r="M130" s="83" t="s">
        <v>0</v>
      </c>
      <c r="N130" s="83" t="s">
        <v>3</v>
      </c>
      <c r="O130" s="84">
        <f>302632/2</f>
        <v>151316</v>
      </c>
      <c r="P130" s="72"/>
      <c r="Q130" s="72"/>
      <c r="R130" s="72"/>
      <c r="S130" s="72"/>
      <c r="T130" s="72"/>
      <c r="U130" s="72"/>
      <c r="V130" s="72"/>
    </row>
    <row r="131" spans="1:22" ht="1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82" t="s">
        <v>210</v>
      </c>
      <c r="M131" s="83" t="s">
        <v>0</v>
      </c>
      <c r="N131" s="83" t="s">
        <v>3</v>
      </c>
      <c r="O131" s="84">
        <f>346693/2</f>
        <v>173346.5</v>
      </c>
      <c r="P131" s="72"/>
      <c r="Q131" s="72"/>
      <c r="R131" s="72"/>
      <c r="S131" s="72"/>
      <c r="T131" s="72"/>
      <c r="U131" s="72"/>
      <c r="V131" s="72"/>
    </row>
    <row r="132" spans="1:22" ht="1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82" t="s">
        <v>211</v>
      </c>
      <c r="M132" s="83" t="s">
        <v>0</v>
      </c>
      <c r="N132" s="83" t="s">
        <v>3</v>
      </c>
      <c r="O132" s="84">
        <f>366023/2</f>
        <v>183011.5</v>
      </c>
      <c r="P132" s="72"/>
      <c r="Q132" s="72"/>
      <c r="R132" s="72"/>
      <c r="S132" s="72"/>
      <c r="T132" s="72"/>
      <c r="U132" s="72"/>
      <c r="V132" s="72"/>
    </row>
    <row r="133" spans="1:22" ht="1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82" t="s">
        <v>212</v>
      </c>
      <c r="M133" s="83" t="s">
        <v>0</v>
      </c>
      <c r="N133" s="83" t="s">
        <v>3</v>
      </c>
      <c r="O133" s="84">
        <f>463780/2</f>
        <v>231890</v>
      </c>
      <c r="P133" s="72"/>
      <c r="Q133" s="72"/>
      <c r="R133" s="72"/>
      <c r="S133" s="72"/>
      <c r="T133" s="72"/>
      <c r="U133" s="72"/>
      <c r="V133" s="72"/>
    </row>
    <row r="134" spans="1:22" ht="1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82" t="s">
        <v>213</v>
      </c>
      <c r="M134" s="83" t="s">
        <v>0</v>
      </c>
      <c r="N134" s="83" t="s">
        <v>3</v>
      </c>
      <c r="O134" s="84">
        <f>489956/2</f>
        <v>244978</v>
      </c>
      <c r="P134" s="72"/>
      <c r="Q134" s="72"/>
      <c r="R134" s="72"/>
      <c r="S134" s="72"/>
      <c r="T134" s="72"/>
      <c r="U134" s="72"/>
      <c r="V134" s="72"/>
    </row>
    <row r="135" spans="1:22" ht="1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82" t="s">
        <v>214</v>
      </c>
      <c r="M135" s="83" t="s">
        <v>0</v>
      </c>
      <c r="N135" s="83" t="s">
        <v>3</v>
      </c>
      <c r="O135" s="84">
        <f>579577/2</f>
        <v>289788.5</v>
      </c>
      <c r="P135" s="72"/>
      <c r="Q135" s="72"/>
      <c r="R135" s="72"/>
      <c r="S135" s="72"/>
      <c r="T135" s="72"/>
      <c r="U135" s="72"/>
      <c r="V135" s="72"/>
    </row>
    <row r="136" spans="1:22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82" t="s">
        <v>215</v>
      </c>
      <c r="M136" s="83" t="s">
        <v>0</v>
      </c>
      <c r="N136" s="83" t="s">
        <v>3</v>
      </c>
      <c r="O136" s="84">
        <f>731091/2</f>
        <v>365545.5</v>
      </c>
      <c r="P136" s="72"/>
      <c r="Q136" s="72"/>
      <c r="R136" s="72"/>
      <c r="S136" s="72"/>
      <c r="T136" s="72"/>
      <c r="U136" s="72"/>
      <c r="V136" s="72"/>
    </row>
    <row r="137" spans="1:22" ht="1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82" t="s">
        <v>216</v>
      </c>
      <c r="M137" s="83" t="s">
        <v>0</v>
      </c>
      <c r="N137" s="83" t="s">
        <v>3</v>
      </c>
      <c r="O137" s="84">
        <f>873446/2</f>
        <v>436723</v>
      </c>
      <c r="P137" s="72"/>
      <c r="Q137" s="72"/>
      <c r="R137" s="72"/>
      <c r="S137" s="72"/>
      <c r="T137" s="72"/>
      <c r="U137" s="72"/>
      <c r="V137" s="72"/>
    </row>
    <row r="138" spans="1:22" ht="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82" t="s">
        <v>217</v>
      </c>
      <c r="M138" s="83" t="s">
        <v>0</v>
      </c>
      <c r="N138" s="83" t="s">
        <v>3</v>
      </c>
      <c r="O138" s="84">
        <f>1027642/2</f>
        <v>513821</v>
      </c>
      <c r="P138" s="72"/>
      <c r="Q138" s="72"/>
      <c r="R138" s="72"/>
      <c r="S138" s="72"/>
      <c r="T138" s="72"/>
      <c r="U138" s="72"/>
      <c r="V138" s="72"/>
    </row>
    <row r="139" spans="1:22" ht="1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82" t="s">
        <v>218</v>
      </c>
      <c r="M139" s="83" t="s">
        <v>0</v>
      </c>
      <c r="N139" s="83" t="s">
        <v>3</v>
      </c>
      <c r="O139" s="84">
        <f>1227194/2</f>
        <v>613597</v>
      </c>
      <c r="P139" s="72"/>
      <c r="Q139" s="72"/>
      <c r="R139" s="72"/>
      <c r="S139" s="72"/>
      <c r="T139" s="72"/>
      <c r="U139" s="72"/>
      <c r="V139" s="72"/>
    </row>
    <row r="140" spans="1:22" ht="1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127" t="s">
        <v>289</v>
      </c>
      <c r="M140" s="83" t="s">
        <v>0</v>
      </c>
      <c r="N140" s="83" t="s">
        <v>3</v>
      </c>
      <c r="O140" s="84">
        <v>305960</v>
      </c>
      <c r="P140" s="72"/>
      <c r="Q140" s="72"/>
      <c r="R140" s="72"/>
      <c r="S140" s="72"/>
      <c r="T140" s="72"/>
      <c r="U140" s="72"/>
      <c r="V140" s="72"/>
    </row>
    <row r="141" spans="1:22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1:22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1:22" ht="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1:22" ht="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1:22" ht="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1:22" ht="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1:22" ht="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1:22" ht="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  <row r="149" spans="1:22" ht="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</row>
    <row r="150" spans="1:22" ht="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1:22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1:22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1:22" ht="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1:22" ht="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1:22" ht="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1:22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1:22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1:22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1:22" ht="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1:22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1:22" ht="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1:22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1:22" ht="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1:22" ht="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1:22" ht="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1:22" ht="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1:22" ht="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1:22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1:22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1:22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1:22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1:22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1:22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1:22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1:22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1:22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1:22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1:22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1:22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1:22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1:22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1:22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1:22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1:22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1:22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1:22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1:22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1:22" ht="1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1:22" ht="1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1:22" ht="1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1:22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1:22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1:22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</sheetData>
  <sheetProtection password="CA9C" sheet="1"/>
  <mergeCells count="30">
    <mergeCell ref="X13:Z13"/>
    <mergeCell ref="Y36:AA36"/>
    <mergeCell ref="AB16:AG16"/>
    <mergeCell ref="X52:AG84"/>
    <mergeCell ref="A60:E60"/>
    <mergeCell ref="F60:I60"/>
    <mergeCell ref="L60:O60"/>
    <mergeCell ref="R60:T60"/>
    <mergeCell ref="X39:AG39"/>
    <mergeCell ref="X40:AG40"/>
    <mergeCell ref="A1:E1"/>
    <mergeCell ref="F1:I1"/>
    <mergeCell ref="L1:O1"/>
    <mergeCell ref="R1:T1"/>
    <mergeCell ref="X1:AG2"/>
    <mergeCell ref="X41:AG41"/>
    <mergeCell ref="X9:Z9"/>
    <mergeCell ref="X10:Z10"/>
    <mergeCell ref="X11:Z11"/>
    <mergeCell ref="X12:Z12"/>
    <mergeCell ref="X8:Z8"/>
    <mergeCell ref="AC36:AF36"/>
    <mergeCell ref="X51:AG51"/>
    <mergeCell ref="X15:Z15"/>
    <mergeCell ref="X16:Z16"/>
    <mergeCell ref="Y34:AA34"/>
    <mergeCell ref="AE34:AF34"/>
    <mergeCell ref="X42:AG42"/>
    <mergeCell ref="X43:AG43"/>
    <mergeCell ref="X14:Z14"/>
  </mergeCells>
  <dataValidations count="9">
    <dataValidation type="list" allowBlank="1" showInputMessage="1" showErrorMessage="1" sqref="F49">
      <formula1>$L$19:$L$22</formula1>
    </dataValidation>
    <dataValidation type="list" allowBlank="1" showInputMessage="1" showErrorMessage="1" sqref="Z21">
      <formula1>$F$61:$F$84</formula1>
    </dataValidation>
    <dataValidation type="list" allowBlank="1" showInputMessage="1" showErrorMessage="1" sqref="Z19">
      <formula1>$A$61:$A$65</formula1>
    </dataValidation>
    <dataValidation type="list" allowBlank="1" showInputMessage="1" showErrorMessage="1" sqref="AT18:AT19">
      <formula1>$AT$18:$AT$20</formula1>
    </dataValidation>
    <dataValidation type="list" allowBlank="1" showInputMessage="1" showErrorMessage="1" sqref="Z20">
      <formula1>$F$86:$F$100</formula1>
    </dataValidation>
    <dataValidation type="list" allowBlank="1" showInputMessage="1" showErrorMessage="1" sqref="Z18">
      <formula1>$A$66:$A$70</formula1>
    </dataValidation>
    <dataValidation type="list" allowBlank="1" showInputMessage="1" showErrorMessage="1" sqref="Z24:Z25">
      <formula1>$L$61:$L$95</formula1>
    </dataValidation>
    <dataValidation type="list" allowBlank="1" showInputMessage="1" showErrorMessage="1" sqref="Z22:Z23">
      <formula1>$L$96:$L$140</formula1>
    </dataValidation>
    <dataValidation type="list" allowBlank="1" showInputMessage="1" showErrorMessage="1" sqref="Z26">
      <formula1>$R$61:$R$101</formula1>
    </dataValidation>
  </dataValidations>
  <printOptions/>
  <pageMargins left="0.5905511811023623" right="0.31496062992125984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theme="9" tint="0.5999900102615356"/>
  </sheetPr>
  <dimension ref="A1:AC127"/>
  <sheetViews>
    <sheetView tabSelected="1" zoomScalePageLayoutView="0" workbookViewId="0" topLeftCell="A1">
      <selection activeCell="V13" sqref="V13"/>
    </sheetView>
  </sheetViews>
  <sheetFormatPr defaultColWidth="9.140625" defaultRowHeight="15"/>
  <cols>
    <col min="1" max="1" width="1.8515625" style="0" customWidth="1"/>
    <col min="2" max="2" width="14.140625" style="0" customWidth="1"/>
    <col min="3" max="3" width="14.8515625" style="0" customWidth="1"/>
    <col min="4" max="4" width="21.421875" style="0" customWidth="1"/>
    <col min="5" max="5" width="9.8515625" style="0" customWidth="1"/>
    <col min="6" max="6" width="8.140625" style="0" customWidth="1"/>
    <col min="7" max="7" width="1.57421875" style="0" hidden="1" customWidth="1"/>
    <col min="8" max="8" width="0.71875" style="0" hidden="1" customWidth="1"/>
    <col min="9" max="9" width="5.28125" style="0" customWidth="1"/>
    <col min="10" max="10" width="5.8515625" style="0" customWidth="1"/>
    <col min="11" max="11" width="2.28125" style="0" customWidth="1"/>
    <col min="12" max="12" width="3.7109375" style="0" customWidth="1"/>
    <col min="13" max="13" width="2.57421875" style="0" hidden="1" customWidth="1"/>
    <col min="14" max="14" width="0.9921875" style="0" customWidth="1"/>
    <col min="15" max="15" width="6.421875" style="0" customWidth="1"/>
    <col min="16" max="16" width="5.8515625" style="0" customWidth="1"/>
    <col min="17" max="17" width="3.7109375" style="0" customWidth="1"/>
    <col min="18" max="18" width="4.140625" style="0" customWidth="1"/>
    <col min="19" max="19" width="5.7109375" style="0" customWidth="1"/>
    <col min="20" max="20" width="2.7109375" style="0" customWidth="1"/>
    <col min="21" max="21" width="4.8515625" style="0" customWidth="1"/>
    <col min="23" max="23" width="26.421875" style="0" hidden="1" customWidth="1"/>
    <col min="24" max="24" width="20.57421875" style="0" hidden="1" customWidth="1"/>
    <col min="25" max="26" width="9.140625" style="0" hidden="1" customWidth="1"/>
    <col min="27" max="29" width="9.140625" style="0" customWidth="1"/>
  </cols>
  <sheetData>
    <row r="1" spans="1:18" ht="15.75">
      <c r="A1" s="181" t="s">
        <v>294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52"/>
      <c r="O1" s="50"/>
      <c r="P1" s="50"/>
      <c r="Q1" s="2"/>
      <c r="R1" s="2"/>
    </row>
    <row r="2" spans="1:18" ht="1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52"/>
      <c r="O2" s="51"/>
      <c r="P2" s="51"/>
      <c r="Q2" s="2"/>
      <c r="R2" s="2"/>
    </row>
    <row r="3" spans="1:18" ht="15">
      <c r="A3" s="10"/>
      <c r="B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"/>
      <c r="O3" s="2"/>
      <c r="P3" s="2"/>
      <c r="Q3" s="2"/>
      <c r="R3" s="2"/>
    </row>
    <row r="4" spans="1:18" ht="15">
      <c r="A4" s="26" t="s">
        <v>55</v>
      </c>
      <c r="B4" s="26"/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5"/>
      <c r="O4" s="2"/>
      <c r="P4" s="2"/>
      <c r="Q4" s="2"/>
      <c r="R4" s="2"/>
    </row>
    <row r="5" spans="1:18" ht="15">
      <c r="A5" s="26" t="s">
        <v>56</v>
      </c>
      <c r="B5" s="26"/>
      <c r="C5" s="27"/>
      <c r="D5" s="10"/>
      <c r="E5" s="10"/>
      <c r="F5" s="10"/>
      <c r="G5" s="10"/>
      <c r="H5" s="10"/>
      <c r="I5" s="10"/>
      <c r="J5" s="10"/>
      <c r="K5" s="10"/>
      <c r="L5" s="10"/>
      <c r="M5" s="10"/>
      <c r="N5" s="5"/>
      <c r="O5" s="2"/>
      <c r="P5" s="2"/>
      <c r="Q5" s="2"/>
      <c r="R5" s="2"/>
    </row>
    <row r="6" spans="1:18" ht="15">
      <c r="A6" s="26" t="s">
        <v>57</v>
      </c>
      <c r="B6" s="26"/>
      <c r="C6" s="27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2"/>
      <c r="P6" s="2"/>
      <c r="Q6" s="2"/>
      <c r="R6" s="2"/>
    </row>
    <row r="7" spans="1:18" ht="15">
      <c r="A7" s="59"/>
      <c r="B7" s="5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5"/>
      <c r="O7" s="2"/>
      <c r="P7" s="2"/>
      <c r="Q7" s="2"/>
      <c r="R7" s="2"/>
    </row>
    <row r="8" spans="1:18" ht="15">
      <c r="A8" s="10" t="s">
        <v>97</v>
      </c>
      <c r="B8" s="10"/>
      <c r="C8" s="10"/>
      <c r="D8" s="53"/>
      <c r="E8" s="10" t="s">
        <v>94</v>
      </c>
      <c r="F8" s="10"/>
      <c r="G8" s="10"/>
      <c r="H8" s="10"/>
      <c r="I8" s="10"/>
      <c r="J8" s="10"/>
      <c r="K8" s="10"/>
      <c r="L8" s="10"/>
      <c r="M8" s="5"/>
      <c r="N8" s="5"/>
      <c r="O8" s="2"/>
      <c r="P8" s="2"/>
      <c r="Q8" s="2"/>
      <c r="R8" s="2"/>
    </row>
    <row r="9" spans="1:18" ht="15">
      <c r="A9" s="160" t="s">
        <v>19</v>
      </c>
      <c r="B9" s="160"/>
      <c r="C9" s="160"/>
      <c r="D9" s="66">
        <v>0</v>
      </c>
      <c r="E9" s="12" t="s">
        <v>20</v>
      </c>
      <c r="F9" s="10"/>
      <c r="G9" s="10"/>
      <c r="H9" s="10"/>
      <c r="I9" s="10"/>
      <c r="J9" s="10"/>
      <c r="K9" s="10"/>
      <c r="L9" s="10"/>
      <c r="M9" s="5"/>
      <c r="N9" s="5"/>
      <c r="O9" s="2"/>
      <c r="P9" s="2"/>
      <c r="Q9" s="2"/>
      <c r="R9" s="2"/>
    </row>
    <row r="10" spans="1:18" ht="15">
      <c r="A10" s="159" t="s">
        <v>71</v>
      </c>
      <c r="B10" s="159"/>
      <c r="C10" s="159"/>
      <c r="D10" s="66">
        <v>0</v>
      </c>
      <c r="E10" s="12" t="s">
        <v>20</v>
      </c>
      <c r="F10" s="10"/>
      <c r="G10" s="10"/>
      <c r="H10" s="10"/>
      <c r="I10" s="10"/>
      <c r="J10" s="10"/>
      <c r="K10" s="10"/>
      <c r="L10" s="10"/>
      <c r="M10" s="5"/>
      <c r="N10" s="5"/>
      <c r="O10" s="2"/>
      <c r="P10" s="2"/>
      <c r="Q10" s="2"/>
      <c r="R10" s="2"/>
    </row>
    <row r="11" spans="1:18" ht="14.25" customHeight="1">
      <c r="A11" s="160" t="s">
        <v>81</v>
      </c>
      <c r="B11" s="160"/>
      <c r="C11" s="160"/>
      <c r="D11" s="53">
        <v>1</v>
      </c>
      <c r="E11" s="10"/>
      <c r="F11" s="10"/>
      <c r="G11" s="10"/>
      <c r="H11" s="10"/>
      <c r="I11" s="10"/>
      <c r="J11" s="10"/>
      <c r="K11" s="10"/>
      <c r="L11" s="10"/>
      <c r="M11" s="5"/>
      <c r="N11" s="5"/>
      <c r="O11" s="2"/>
      <c r="P11" s="2"/>
      <c r="Q11" s="2"/>
      <c r="R11" s="2"/>
    </row>
    <row r="12" spans="1:18" ht="31.5" customHeight="1">
      <c r="A12" s="10"/>
      <c r="B12" s="10"/>
      <c r="C12" s="10"/>
      <c r="D12" s="5"/>
      <c r="E12" s="10"/>
      <c r="F12" s="10"/>
      <c r="G12" s="161" t="s">
        <v>119</v>
      </c>
      <c r="H12" s="185"/>
      <c r="I12" s="185"/>
      <c r="J12" s="185"/>
      <c r="K12" s="185"/>
      <c r="L12" s="185"/>
      <c r="M12" s="98"/>
      <c r="N12" s="5"/>
      <c r="O12" s="2"/>
      <c r="P12" s="2"/>
      <c r="Q12" s="2"/>
      <c r="R12" s="2"/>
    </row>
    <row r="13" spans="1:18" ht="15">
      <c r="A13" s="60" t="s">
        <v>76</v>
      </c>
      <c r="B13" s="60"/>
      <c r="C13" s="60"/>
      <c r="D13" s="5"/>
      <c r="E13" s="10"/>
      <c r="F13" s="10"/>
      <c r="G13" s="10"/>
      <c r="H13" s="10"/>
      <c r="I13" s="10"/>
      <c r="J13" s="10"/>
      <c r="K13" s="10"/>
      <c r="L13" s="10"/>
      <c r="M13" s="5"/>
      <c r="N13" s="5"/>
      <c r="O13" s="2"/>
      <c r="P13" s="2"/>
      <c r="Q13" s="2"/>
      <c r="R13" s="2"/>
    </row>
    <row r="14" spans="1:18" ht="15">
      <c r="A14" s="10"/>
      <c r="B14" s="10" t="s">
        <v>91</v>
      </c>
      <c r="C14" s="10"/>
      <c r="D14" s="53" t="s">
        <v>24</v>
      </c>
      <c r="E14" s="61">
        <f>VLOOKUP(D14,X54:Y58,2)</f>
        <v>0</v>
      </c>
      <c r="F14" s="10" t="s">
        <v>17</v>
      </c>
      <c r="G14" s="10"/>
      <c r="H14" s="168">
        <f>E14*(D9-D10)</f>
        <v>0</v>
      </c>
      <c r="I14" s="169"/>
      <c r="J14" s="169"/>
      <c r="K14" s="105" t="s">
        <v>50</v>
      </c>
      <c r="L14" s="10"/>
      <c r="M14" s="5"/>
      <c r="N14" s="5"/>
      <c r="O14" s="2"/>
      <c r="P14" s="2"/>
      <c r="Q14" s="2"/>
      <c r="R14" s="2"/>
    </row>
    <row r="15" spans="1:18" ht="15">
      <c r="A15" s="10"/>
      <c r="B15" s="10" t="s">
        <v>92</v>
      </c>
      <c r="C15" s="10"/>
      <c r="D15" s="53" t="s">
        <v>24</v>
      </c>
      <c r="E15" s="61">
        <f>VLOOKUP(D15,X59:Y63,2)</f>
        <v>0</v>
      </c>
      <c r="F15" s="10" t="s">
        <v>17</v>
      </c>
      <c r="G15" s="10"/>
      <c r="H15" s="168">
        <f>E15*(D9-D10)</f>
        <v>0</v>
      </c>
      <c r="I15" s="169"/>
      <c r="J15" s="169"/>
      <c r="K15" s="105" t="s">
        <v>50</v>
      </c>
      <c r="L15" s="10"/>
      <c r="M15" s="5"/>
      <c r="N15" s="5"/>
      <c r="O15" s="2"/>
      <c r="P15" s="2"/>
      <c r="Q15" s="2"/>
      <c r="R15" s="2"/>
    </row>
    <row r="16" spans="1:18" ht="15">
      <c r="A16" s="60" t="s">
        <v>77</v>
      </c>
      <c r="B16" s="60"/>
      <c r="C16" s="10"/>
      <c r="D16" s="5"/>
      <c r="E16" s="61"/>
      <c r="F16" s="10"/>
      <c r="G16" s="10"/>
      <c r="H16" s="101"/>
      <c r="I16" s="105"/>
      <c r="J16" s="105"/>
      <c r="K16" s="105"/>
      <c r="L16" s="10"/>
      <c r="M16" s="5"/>
      <c r="N16" s="5"/>
      <c r="O16" s="2"/>
      <c r="P16" s="137"/>
      <c r="Q16" s="2"/>
      <c r="R16" s="2"/>
    </row>
    <row r="17" spans="1:18" ht="15">
      <c r="A17" s="10"/>
      <c r="B17" s="10" t="s">
        <v>91</v>
      </c>
      <c r="C17" s="10"/>
      <c r="D17" s="135" t="s">
        <v>24</v>
      </c>
      <c r="E17" s="61">
        <f>VLOOKUP(D17,W66:X67,2)</f>
        <v>0</v>
      </c>
      <c r="F17" s="10" t="s">
        <v>17</v>
      </c>
      <c r="G17" s="10"/>
      <c r="H17" s="168">
        <f>E17*(D9-D10)*D11*D8</f>
        <v>0</v>
      </c>
      <c r="I17" s="169"/>
      <c r="J17" s="169"/>
      <c r="K17" s="105" t="s">
        <v>50</v>
      </c>
      <c r="L17" s="10"/>
      <c r="M17" s="5"/>
      <c r="N17" s="5"/>
      <c r="O17" s="2"/>
      <c r="P17" s="2"/>
      <c r="Q17" s="2"/>
      <c r="R17" s="2"/>
    </row>
    <row r="18" spans="1:18" ht="15">
      <c r="A18" s="10"/>
      <c r="B18" s="10" t="s">
        <v>92</v>
      </c>
      <c r="C18" s="10"/>
      <c r="D18" s="135" t="s">
        <v>24</v>
      </c>
      <c r="E18" s="61">
        <f>VLOOKUP(D18,W68:X69,2)</f>
        <v>0</v>
      </c>
      <c r="F18" s="10" t="s">
        <v>17</v>
      </c>
      <c r="G18" s="10"/>
      <c r="H18" s="168">
        <f>E18*(D9-D10)*D11*D8</f>
        <v>0</v>
      </c>
      <c r="I18" s="169"/>
      <c r="J18" s="169"/>
      <c r="K18" s="105" t="s">
        <v>50</v>
      </c>
      <c r="L18" s="10"/>
      <c r="M18" s="5"/>
      <c r="N18" s="5"/>
      <c r="O18" s="2"/>
      <c r="P18" s="2"/>
      <c r="Q18" s="2"/>
      <c r="R18" s="2"/>
    </row>
    <row r="19" spans="1:18" ht="15">
      <c r="A19" s="60" t="s">
        <v>78</v>
      </c>
      <c r="B19" s="60"/>
      <c r="C19" s="60"/>
      <c r="D19" s="136"/>
      <c r="E19" s="61"/>
      <c r="F19" s="10"/>
      <c r="G19" s="10"/>
      <c r="H19" s="101"/>
      <c r="I19" s="105"/>
      <c r="J19" s="105"/>
      <c r="K19" s="105"/>
      <c r="L19" s="10"/>
      <c r="M19" s="5"/>
      <c r="N19" s="5"/>
      <c r="O19" s="2"/>
      <c r="P19" s="2"/>
      <c r="Q19" s="2"/>
      <c r="R19" s="2"/>
    </row>
    <row r="20" spans="1:18" ht="15">
      <c r="A20" s="10"/>
      <c r="B20" s="10" t="s">
        <v>91</v>
      </c>
      <c r="C20" s="10"/>
      <c r="D20" s="135" t="s">
        <v>24</v>
      </c>
      <c r="E20" s="61">
        <f>VLOOKUP(D20,W72:X73,2)</f>
        <v>0</v>
      </c>
      <c r="F20" s="10" t="s">
        <v>17</v>
      </c>
      <c r="G20" s="10"/>
      <c r="H20" s="168">
        <f>(D9-D10)*E20*D11*D8</f>
        <v>0</v>
      </c>
      <c r="I20" s="169"/>
      <c r="J20" s="169"/>
      <c r="K20" s="105" t="s">
        <v>50</v>
      </c>
      <c r="L20" s="10"/>
      <c r="M20" s="5"/>
      <c r="N20" s="5"/>
      <c r="O20" s="2"/>
      <c r="P20" s="2"/>
      <c r="Q20" s="2"/>
      <c r="R20" s="2"/>
    </row>
    <row r="21" spans="1:18" ht="15">
      <c r="A21" s="10"/>
      <c r="B21" s="10" t="s">
        <v>92</v>
      </c>
      <c r="C21" s="10"/>
      <c r="D21" s="135" t="s">
        <v>24</v>
      </c>
      <c r="E21" s="61">
        <f>VLOOKUP(D21,W74:X75,2)</f>
        <v>0</v>
      </c>
      <c r="F21" s="10" t="s">
        <v>17</v>
      </c>
      <c r="G21" s="10"/>
      <c r="H21" s="168">
        <f>E21*(D9-D10)*D11*D8</f>
        <v>0</v>
      </c>
      <c r="I21" s="169"/>
      <c r="J21" s="169"/>
      <c r="K21" s="105" t="s">
        <v>50</v>
      </c>
      <c r="L21" s="10"/>
      <c r="M21" s="5"/>
      <c r="N21" s="5"/>
      <c r="O21" s="2"/>
      <c r="P21" s="2"/>
      <c r="Q21" s="2"/>
      <c r="R21" s="2"/>
    </row>
    <row r="22" spans="1:18" ht="29.25" customHeight="1">
      <c r="A22" s="175" t="s">
        <v>118</v>
      </c>
      <c r="B22" s="176"/>
      <c r="C22" s="176"/>
      <c r="D22" s="135" t="s">
        <v>24</v>
      </c>
      <c r="E22" s="61">
        <f>VLOOKUP(D22,W78:X79,2)</f>
        <v>0</v>
      </c>
      <c r="F22" s="10" t="s">
        <v>17</v>
      </c>
      <c r="G22" s="10"/>
      <c r="H22" s="168">
        <f>E22*(D9-D10)*D8*D11</f>
        <v>0</v>
      </c>
      <c r="I22" s="169"/>
      <c r="J22" s="169"/>
      <c r="K22" s="105" t="s">
        <v>50</v>
      </c>
      <c r="L22" s="10"/>
      <c r="M22" s="5"/>
      <c r="N22" s="5"/>
      <c r="O22" s="2"/>
      <c r="P22" s="2"/>
      <c r="Q22" s="2"/>
      <c r="R22" s="2"/>
    </row>
    <row r="23" spans="1:18" ht="15">
      <c r="A23" s="60" t="s">
        <v>79</v>
      </c>
      <c r="B23" s="60"/>
      <c r="C23" s="60"/>
      <c r="D23" s="5"/>
      <c r="E23" s="61"/>
      <c r="F23" s="10"/>
      <c r="G23" s="10"/>
      <c r="H23" s="101"/>
      <c r="I23" s="105"/>
      <c r="J23" s="105"/>
      <c r="K23" s="105"/>
      <c r="L23" s="10"/>
      <c r="M23" s="5"/>
      <c r="N23" s="5"/>
      <c r="O23" s="2"/>
      <c r="P23" s="2"/>
      <c r="Q23" s="2"/>
      <c r="R23" s="2"/>
    </row>
    <row r="24" spans="1:18" ht="15">
      <c r="A24" s="10"/>
      <c r="B24" s="10" t="s">
        <v>91</v>
      </c>
      <c r="C24" s="10"/>
      <c r="D24" s="53" t="s">
        <v>24</v>
      </c>
      <c r="E24" s="61">
        <f>VLOOKUP(D24,X83:Y87,2)</f>
        <v>0</v>
      </c>
      <c r="F24" s="10" t="s">
        <v>17</v>
      </c>
      <c r="G24" s="10"/>
      <c r="H24" s="168">
        <f>E24*(D9-D10)</f>
        <v>0</v>
      </c>
      <c r="I24" s="169"/>
      <c r="J24" s="169"/>
      <c r="K24" s="105" t="s">
        <v>50</v>
      </c>
      <c r="L24" s="10"/>
      <c r="M24" s="5"/>
      <c r="N24" s="5"/>
      <c r="O24" s="2"/>
      <c r="P24" s="2"/>
      <c r="Q24" s="2"/>
      <c r="R24" s="2"/>
    </row>
    <row r="25" spans="1:18" ht="15">
      <c r="A25" s="10"/>
      <c r="B25" s="10" t="s">
        <v>92</v>
      </c>
      <c r="C25" s="10"/>
      <c r="D25" s="53" t="s">
        <v>24</v>
      </c>
      <c r="E25" s="61">
        <f>VLOOKUP(D25,X88:Y92,2)</f>
        <v>0</v>
      </c>
      <c r="F25" s="10" t="s">
        <v>17</v>
      </c>
      <c r="G25" s="10"/>
      <c r="H25" s="168">
        <f>E25*(D9-D10)</f>
        <v>0</v>
      </c>
      <c r="I25" s="169"/>
      <c r="J25" s="169"/>
      <c r="K25" s="105" t="s">
        <v>50</v>
      </c>
      <c r="L25" s="10"/>
      <c r="M25" s="5"/>
      <c r="N25" s="5"/>
      <c r="O25" s="2"/>
      <c r="P25" s="2"/>
      <c r="Q25" s="2"/>
      <c r="R25" s="2"/>
    </row>
    <row r="26" spans="1:18" ht="15">
      <c r="A26" s="60" t="s">
        <v>80</v>
      </c>
      <c r="B26" s="60"/>
      <c r="C26" s="60"/>
      <c r="D26" s="5"/>
      <c r="E26" s="61"/>
      <c r="F26" s="10"/>
      <c r="G26" s="10"/>
      <c r="H26" s="101"/>
      <c r="I26" s="105"/>
      <c r="J26" s="105"/>
      <c r="K26" s="105"/>
      <c r="L26" s="10"/>
      <c r="M26" s="5"/>
      <c r="N26" s="5"/>
      <c r="O26" s="2"/>
      <c r="P26" s="2"/>
      <c r="Q26" s="2"/>
      <c r="R26" s="2"/>
    </row>
    <row r="27" spans="1:18" ht="15">
      <c r="A27" s="60" t="s">
        <v>93</v>
      </c>
      <c r="B27" s="60"/>
      <c r="C27" s="60"/>
      <c r="D27" s="5" t="s">
        <v>24</v>
      </c>
      <c r="E27" s="61"/>
      <c r="F27" s="10"/>
      <c r="G27" s="10"/>
      <c r="H27" s="101"/>
      <c r="I27" s="105"/>
      <c r="J27" s="105"/>
      <c r="K27" s="105"/>
      <c r="L27" s="10"/>
      <c r="M27" s="5"/>
      <c r="N27" s="5"/>
      <c r="O27" s="2"/>
      <c r="P27" s="2"/>
      <c r="Q27" s="2"/>
      <c r="R27" s="2"/>
    </row>
    <row r="28" spans="1:18" ht="15">
      <c r="A28" s="10"/>
      <c r="B28" s="10" t="s">
        <v>91</v>
      </c>
      <c r="C28" s="10"/>
      <c r="D28" s="53" t="s">
        <v>24</v>
      </c>
      <c r="E28" s="61">
        <f>VLOOKUP(D28,X96:Y100,2)</f>
        <v>0</v>
      </c>
      <c r="F28" s="10" t="s">
        <v>17</v>
      </c>
      <c r="G28" s="10"/>
      <c r="H28" s="168">
        <f>E28*(D9-D10)</f>
        <v>0</v>
      </c>
      <c r="I28" s="169"/>
      <c r="J28" s="169"/>
      <c r="K28" s="105" t="s">
        <v>50</v>
      </c>
      <c r="L28" s="10"/>
      <c r="M28" s="5"/>
      <c r="N28" s="5"/>
      <c r="O28" s="2"/>
      <c r="P28" s="2"/>
      <c r="Q28" s="2"/>
      <c r="R28" s="2"/>
    </row>
    <row r="29" spans="1:18" ht="15">
      <c r="A29" s="10"/>
      <c r="B29" s="10" t="s">
        <v>92</v>
      </c>
      <c r="C29" s="10"/>
      <c r="D29" s="53" t="s">
        <v>24</v>
      </c>
      <c r="E29" s="61">
        <f>VLOOKUP(D29,X101:Y105,2)</f>
        <v>0</v>
      </c>
      <c r="F29" s="10" t="s">
        <v>17</v>
      </c>
      <c r="G29" s="10"/>
      <c r="H29" s="168">
        <f>E29*(D9-D10)</f>
        <v>0</v>
      </c>
      <c r="I29" s="169"/>
      <c r="J29" s="169"/>
      <c r="K29" s="105" t="s">
        <v>50</v>
      </c>
      <c r="L29" s="10"/>
      <c r="M29" s="5"/>
      <c r="N29" s="5"/>
      <c r="O29" s="2"/>
      <c r="P29" s="2"/>
      <c r="Q29" s="2"/>
      <c r="R29" s="2"/>
    </row>
    <row r="30" spans="1:18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/>
      <c r="N30" s="5"/>
      <c r="O30" s="2"/>
      <c r="P30" s="2"/>
      <c r="Q30" s="2"/>
      <c r="R30" s="2"/>
    </row>
    <row r="31" spans="1:18" ht="15">
      <c r="A31" s="10"/>
      <c r="B31" s="10"/>
      <c r="C31" s="10"/>
      <c r="D31" s="10" t="s">
        <v>24</v>
      </c>
      <c r="E31" s="10"/>
      <c r="F31" s="10"/>
      <c r="G31" s="10"/>
      <c r="H31" s="10"/>
      <c r="I31" s="10"/>
      <c r="J31" s="10"/>
      <c r="K31" s="10"/>
      <c r="L31" s="10"/>
      <c r="M31" s="5"/>
      <c r="N31" s="5"/>
      <c r="O31" s="2"/>
      <c r="P31" s="2"/>
      <c r="Q31" s="2"/>
      <c r="R31" s="2"/>
    </row>
    <row r="32" spans="1:18" ht="15">
      <c r="A32" s="10"/>
      <c r="D32" t="s">
        <v>24</v>
      </c>
      <c r="N32" s="5"/>
      <c r="O32" s="2"/>
      <c r="P32" s="2"/>
      <c r="Q32" s="2"/>
      <c r="R32" s="2"/>
    </row>
    <row r="33" spans="1:18" ht="15">
      <c r="A33" s="10"/>
      <c r="N33" s="5"/>
      <c r="O33" s="2"/>
      <c r="P33" s="2"/>
      <c r="Q33" s="2"/>
      <c r="R33" s="2"/>
    </row>
    <row r="34" spans="1:18" ht="15">
      <c r="A34" s="10"/>
      <c r="N34" s="5"/>
      <c r="O34" s="2"/>
      <c r="P34" s="2"/>
      <c r="Q34" s="2"/>
      <c r="R34" s="2"/>
    </row>
    <row r="35" spans="1:29" ht="15">
      <c r="A35" s="101"/>
      <c r="B35" s="10"/>
      <c r="C35" s="60" t="s">
        <v>21</v>
      </c>
      <c r="D35" s="16">
        <f>H14+H15+H17+H18+H20+H21+H22+H24+H25+H28+H29</f>
        <v>0</v>
      </c>
      <c r="E35" s="10" t="s">
        <v>23</v>
      </c>
      <c r="F35" s="10"/>
      <c r="G35" s="10"/>
      <c r="H35" s="10"/>
      <c r="I35" s="10"/>
      <c r="J35" s="10"/>
      <c r="K35" s="10"/>
      <c r="L35" s="10"/>
      <c r="M35" s="5"/>
      <c r="N35" s="5"/>
      <c r="O35" s="98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102"/>
      <c r="AC35" s="102"/>
    </row>
    <row r="36" spans="1:29" ht="15">
      <c r="A36" s="101"/>
      <c r="B36" s="10"/>
      <c r="C36" s="60"/>
      <c r="D36" s="16">
        <f>D37-D35</f>
        <v>0</v>
      </c>
      <c r="E36" s="10" t="s">
        <v>25</v>
      </c>
      <c r="F36" s="10"/>
      <c r="G36" s="10"/>
      <c r="H36" s="10"/>
      <c r="I36" s="10"/>
      <c r="J36" s="10"/>
      <c r="K36" s="10"/>
      <c r="L36" s="10"/>
      <c r="M36" s="5"/>
      <c r="N36" s="5"/>
      <c r="O36" s="98"/>
      <c r="P36" s="107"/>
      <c r="Q36" s="107"/>
      <c r="R36" s="107"/>
      <c r="S36" s="107"/>
      <c r="T36" s="54"/>
      <c r="U36" s="98"/>
      <c r="V36" s="98"/>
      <c r="W36" s="98"/>
      <c r="X36" s="98"/>
      <c r="Y36" s="107"/>
      <c r="Z36" s="98"/>
      <c r="AA36" s="49"/>
      <c r="AB36" s="102"/>
      <c r="AC36" s="102"/>
    </row>
    <row r="37" spans="1:29" ht="15">
      <c r="A37" s="53"/>
      <c r="B37" s="10"/>
      <c r="C37" s="60"/>
      <c r="D37" s="16">
        <f>ROUND(D35*1.18,2)</f>
        <v>0</v>
      </c>
      <c r="E37" s="10" t="s">
        <v>22</v>
      </c>
      <c r="F37" s="10"/>
      <c r="G37" s="10"/>
      <c r="H37" s="10"/>
      <c r="I37" s="10"/>
      <c r="J37" s="10"/>
      <c r="K37" s="10"/>
      <c r="L37" s="10"/>
      <c r="M37" s="5"/>
      <c r="N37" s="5"/>
      <c r="O37" s="98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98"/>
      <c r="AA37" s="49"/>
      <c r="AB37" s="102"/>
      <c r="AC37" s="102"/>
    </row>
    <row r="38" spans="1:29" ht="15">
      <c r="A38" s="53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5"/>
      <c r="N38" s="5"/>
      <c r="O38" s="98"/>
      <c r="P38" s="107"/>
      <c r="Q38" s="107"/>
      <c r="R38" s="107"/>
      <c r="S38" s="107"/>
      <c r="T38" s="54"/>
      <c r="U38" s="54"/>
      <c r="V38" s="98"/>
      <c r="W38" s="98"/>
      <c r="X38" s="98"/>
      <c r="Y38" s="107"/>
      <c r="Z38" s="98"/>
      <c r="AA38" s="49"/>
      <c r="AB38" s="102"/>
      <c r="AC38" s="102"/>
    </row>
    <row r="39" spans="1:29" ht="15">
      <c r="A39" s="53"/>
      <c r="B39" s="140"/>
      <c r="C39" s="140"/>
      <c r="D39" s="140"/>
      <c r="E39" s="142"/>
      <c r="F39" s="143"/>
      <c r="G39" s="143"/>
      <c r="H39" s="143"/>
      <c r="I39" s="143"/>
      <c r="J39" s="140"/>
      <c r="K39" s="143"/>
      <c r="L39" s="140"/>
      <c r="M39" s="5"/>
      <c r="N39" s="5"/>
      <c r="O39" s="98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98"/>
      <c r="AA39" s="49"/>
      <c r="AB39" s="102"/>
      <c r="AC39" s="102"/>
    </row>
    <row r="40" spans="1:29" ht="15">
      <c r="A40" s="53"/>
      <c r="B40" s="141" t="s">
        <v>53</v>
      </c>
      <c r="C40" s="141"/>
      <c r="D40" s="141"/>
      <c r="E40" s="142" t="s">
        <v>52</v>
      </c>
      <c r="F40" s="143"/>
      <c r="G40" s="143"/>
      <c r="H40" s="143"/>
      <c r="I40" s="143"/>
      <c r="J40" s="10"/>
      <c r="K40" s="64"/>
      <c r="L40" s="10"/>
      <c r="M40" s="5"/>
      <c r="N40" s="5"/>
      <c r="O40" s="98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98"/>
      <c r="AA40" s="49"/>
      <c r="AB40" s="102"/>
      <c r="AC40" s="102"/>
    </row>
    <row r="41" spans="1:29" ht="15">
      <c r="A41" s="53"/>
      <c r="B41" s="53"/>
      <c r="C41" s="53"/>
      <c r="D41" s="53"/>
      <c r="E41" s="10"/>
      <c r="F41" s="10"/>
      <c r="G41" s="10"/>
      <c r="H41" s="10"/>
      <c r="I41" s="10"/>
      <c r="J41" s="10"/>
      <c r="K41" s="64"/>
      <c r="L41" s="10"/>
      <c r="M41" s="5"/>
      <c r="N41" s="5"/>
      <c r="O41" s="98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98"/>
      <c r="AA41" s="49"/>
      <c r="AB41" s="102"/>
      <c r="AC41" s="102"/>
    </row>
    <row r="42" spans="1:29" ht="15">
      <c r="A42" s="10"/>
      <c r="B42" s="141" t="s">
        <v>54</v>
      </c>
      <c r="C42" s="141"/>
      <c r="D42" s="141"/>
      <c r="E42" s="142" t="s">
        <v>63</v>
      </c>
      <c r="F42" s="142"/>
      <c r="G42" s="143"/>
      <c r="H42" s="143"/>
      <c r="I42" s="143"/>
      <c r="J42" s="10"/>
      <c r="K42" s="64"/>
      <c r="L42" s="10"/>
      <c r="M42" s="5"/>
      <c r="N42" s="5"/>
      <c r="O42" s="98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98"/>
      <c r="AA42" s="49"/>
      <c r="AB42" s="102"/>
      <c r="AC42" s="102"/>
    </row>
    <row r="43" spans="1:29" ht="15">
      <c r="A43" s="10"/>
      <c r="B43" s="53"/>
      <c r="C43" s="53"/>
      <c r="D43" s="53"/>
      <c r="E43" s="53"/>
      <c r="F43" s="53"/>
      <c r="G43" s="53"/>
      <c r="H43" s="53"/>
      <c r="I43" s="53"/>
      <c r="J43" s="53"/>
      <c r="K43" s="2"/>
      <c r="L43" s="5"/>
      <c r="M43" s="5"/>
      <c r="N43" s="5"/>
      <c r="O43" s="98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98"/>
      <c r="AA43" s="49"/>
      <c r="AB43" s="102"/>
      <c r="AC43" s="102"/>
    </row>
    <row r="44" spans="1:29" ht="15">
      <c r="A44" s="10"/>
      <c r="B44" s="53"/>
      <c r="C44" s="53"/>
      <c r="D44" s="53"/>
      <c r="E44" s="53"/>
      <c r="F44" s="53"/>
      <c r="G44" s="53"/>
      <c r="H44" s="53"/>
      <c r="I44" s="53"/>
      <c r="J44" s="53"/>
      <c r="K44" s="2"/>
      <c r="L44" s="5"/>
      <c r="M44" s="5"/>
      <c r="N44" s="5"/>
      <c r="O44" s="98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98"/>
      <c r="AA44" s="49"/>
      <c r="AB44" s="102"/>
      <c r="AC44" s="102"/>
    </row>
    <row r="45" spans="1:29" ht="15">
      <c r="A45" s="10"/>
      <c r="B45" s="144" t="s">
        <v>95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5"/>
      <c r="O45" s="98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98"/>
      <c r="AA45" s="49"/>
      <c r="AB45" s="102"/>
      <c r="AC45" s="102"/>
    </row>
    <row r="46" spans="2:29" ht="15">
      <c r="B46" s="144" t="s">
        <v>96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5"/>
      <c r="O46" s="98"/>
      <c r="P46" s="10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102"/>
      <c r="AC46" s="102"/>
    </row>
    <row r="47" spans="13:29" ht="15">
      <c r="M47" s="5"/>
      <c r="N47" s="5"/>
      <c r="O47" s="98"/>
      <c r="P47" s="98"/>
      <c r="Q47" s="98"/>
      <c r="R47" s="98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:29" ht="75" customHeight="1">
      <c r="A48" s="64"/>
      <c r="B48" s="64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5"/>
      <c r="N48" s="5"/>
      <c r="O48" s="98"/>
      <c r="P48" s="98"/>
      <c r="Q48" s="98"/>
      <c r="R48" s="98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:18" ht="15.75">
      <c r="A49" s="186" t="s">
        <v>295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32"/>
      <c r="N49" s="5"/>
      <c r="O49" s="2"/>
      <c r="P49" s="2"/>
      <c r="Q49" s="2"/>
      <c r="R49" s="2"/>
    </row>
    <row r="50" spans="1:18" ht="14.25" customHeight="1">
      <c r="A50" s="187" t="s">
        <v>299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5"/>
      <c r="O50" s="2"/>
      <c r="P50" s="2"/>
      <c r="Q50" s="2"/>
      <c r="R50" s="2"/>
    </row>
    <row r="51" spans="1:18" ht="1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5"/>
      <c r="O51" s="2"/>
      <c r="P51" s="2"/>
      <c r="Q51" s="2"/>
      <c r="R51" s="2"/>
    </row>
    <row r="52" spans="1:18" ht="1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5"/>
      <c r="O52" s="2"/>
      <c r="P52" s="2"/>
      <c r="Q52" s="2"/>
      <c r="R52" s="2"/>
    </row>
    <row r="53" spans="1:25" ht="1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5"/>
      <c r="O53" s="2"/>
      <c r="P53" s="2"/>
      <c r="Q53" s="2"/>
      <c r="R53" s="2"/>
      <c r="W53" s="154" t="s">
        <v>85</v>
      </c>
      <c r="X53" s="154"/>
      <c r="Y53" s="154"/>
    </row>
    <row r="54" spans="1:25" ht="1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5"/>
      <c r="O54" s="2"/>
      <c r="P54" s="2"/>
      <c r="Q54" s="2"/>
      <c r="R54" s="2"/>
      <c r="W54" s="102"/>
      <c r="X54" s="102" t="s">
        <v>24</v>
      </c>
      <c r="Y54" s="102"/>
    </row>
    <row r="55" spans="1:25" ht="1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2"/>
      <c r="O55" s="2"/>
      <c r="P55" s="2"/>
      <c r="Q55" s="2"/>
      <c r="R55" s="2"/>
      <c r="W55" s="102" t="s">
        <v>82</v>
      </c>
      <c r="X55" t="s">
        <v>115</v>
      </c>
      <c r="Y55" s="46"/>
    </row>
    <row r="56" spans="1:25" ht="1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2"/>
      <c r="O56" s="2"/>
      <c r="P56" s="2"/>
      <c r="Q56" s="2"/>
      <c r="R56" s="2"/>
      <c r="W56" s="102"/>
      <c r="X56" t="s">
        <v>114</v>
      </c>
      <c r="Y56" s="46">
        <v>200.9</v>
      </c>
    </row>
    <row r="57" spans="1:25" ht="1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2"/>
      <c r="O57" s="2"/>
      <c r="P57" s="2"/>
      <c r="Q57" s="2"/>
      <c r="R57" s="2"/>
      <c r="W57" s="102"/>
      <c r="X57" t="s">
        <v>113</v>
      </c>
      <c r="Y57" s="46">
        <v>8.59</v>
      </c>
    </row>
    <row r="58" spans="1:25" ht="1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2"/>
      <c r="O58" s="2"/>
      <c r="P58" s="2"/>
      <c r="Q58" s="2"/>
      <c r="R58" s="2"/>
      <c r="W58" s="102"/>
      <c r="X58" t="s">
        <v>84</v>
      </c>
      <c r="Y58" s="46">
        <v>1.66</v>
      </c>
    </row>
    <row r="59" spans="1:24" ht="1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2"/>
      <c r="O59" s="2"/>
      <c r="P59" s="2"/>
      <c r="Q59" s="2"/>
      <c r="R59" s="2"/>
      <c r="W59" s="102"/>
      <c r="X59" t="s">
        <v>24</v>
      </c>
    </row>
    <row r="60" spans="1:25" ht="1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2"/>
      <c r="O60" s="2"/>
      <c r="P60" s="2"/>
      <c r="Q60" s="2"/>
      <c r="R60" s="2"/>
      <c r="W60" s="102" t="s">
        <v>83</v>
      </c>
      <c r="X60" t="s">
        <v>115</v>
      </c>
      <c r="Y60" s="46"/>
    </row>
    <row r="61" spans="1:25" ht="15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2"/>
      <c r="O61" s="2"/>
      <c r="P61" s="2"/>
      <c r="Q61" s="2"/>
      <c r="R61" s="2"/>
      <c r="W61" s="102"/>
      <c r="X61" t="s">
        <v>114</v>
      </c>
      <c r="Y61" s="46">
        <v>66.08</v>
      </c>
    </row>
    <row r="62" spans="1:25" ht="1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2"/>
      <c r="O62" s="2"/>
      <c r="P62" s="2"/>
      <c r="Q62" s="2"/>
      <c r="R62" s="2"/>
      <c r="W62" s="102"/>
      <c r="X62" t="s">
        <v>113</v>
      </c>
      <c r="Y62" s="46">
        <v>7.32</v>
      </c>
    </row>
    <row r="63" spans="1:25" ht="1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2"/>
      <c r="O63" s="2"/>
      <c r="P63" s="2"/>
      <c r="Q63" s="2"/>
      <c r="R63" s="2"/>
      <c r="W63" s="102"/>
      <c r="X63" t="s">
        <v>84</v>
      </c>
      <c r="Y63" s="46">
        <v>2.42</v>
      </c>
    </row>
    <row r="64" spans="1:18" ht="1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2"/>
      <c r="O64" s="2"/>
      <c r="P64" s="2"/>
      <c r="Q64" s="2"/>
      <c r="R64" s="2"/>
    </row>
    <row r="65" spans="1:25" ht="1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2"/>
      <c r="O65" s="2"/>
      <c r="P65" s="2"/>
      <c r="Q65" s="2"/>
      <c r="R65" s="2"/>
      <c r="W65" t="s">
        <v>86</v>
      </c>
      <c r="Y65" s="45"/>
    </row>
    <row r="66" spans="1:25" ht="1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2"/>
      <c r="O66" s="2"/>
      <c r="P66" s="2"/>
      <c r="Q66" s="2"/>
      <c r="R66" s="2"/>
      <c r="W66" t="s">
        <v>24</v>
      </c>
      <c r="Y66" s="45"/>
    </row>
    <row r="67" spans="1:25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2"/>
      <c r="O67" s="2"/>
      <c r="P67" s="2"/>
      <c r="Q67" s="2"/>
      <c r="R67" s="2"/>
      <c r="W67" t="s">
        <v>116</v>
      </c>
      <c r="X67" s="46">
        <v>1210.39</v>
      </c>
      <c r="Y67" s="45"/>
    </row>
    <row r="68" spans="1:25" ht="1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2"/>
      <c r="O68" s="2"/>
      <c r="P68" s="2"/>
      <c r="Q68" s="2"/>
      <c r="R68" s="2"/>
      <c r="W68" t="s">
        <v>24</v>
      </c>
      <c r="Y68" s="45"/>
    </row>
    <row r="69" spans="1:24" ht="1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2"/>
      <c r="O69" s="2"/>
      <c r="P69" s="2"/>
      <c r="Q69" s="2"/>
      <c r="R69" s="2"/>
      <c r="W69" t="s">
        <v>117</v>
      </c>
      <c r="X69" s="46">
        <v>1804.63</v>
      </c>
    </row>
    <row r="70" spans="1:18" ht="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2"/>
      <c r="L70" s="2"/>
      <c r="M70" s="2"/>
      <c r="N70" s="2"/>
      <c r="O70" s="2"/>
      <c r="P70" s="2"/>
      <c r="Q70" s="2"/>
      <c r="R70" s="2"/>
    </row>
    <row r="71" spans="1:23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2"/>
      <c r="L71" s="2"/>
      <c r="M71" s="2"/>
      <c r="N71" s="2"/>
      <c r="O71" s="2"/>
      <c r="P71" s="2"/>
      <c r="Q71" s="2"/>
      <c r="R71" s="2"/>
      <c r="W71" t="s">
        <v>87</v>
      </c>
    </row>
    <row r="72" spans="1:23" ht="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2"/>
      <c r="L72" s="2"/>
      <c r="M72" s="2"/>
      <c r="N72" s="2"/>
      <c r="O72" s="2"/>
      <c r="P72" s="2"/>
      <c r="Q72" s="2"/>
      <c r="R72" s="2"/>
      <c r="W72" t="s">
        <v>24</v>
      </c>
    </row>
    <row r="73" spans="1:24" ht="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2"/>
      <c r="L73" s="2"/>
      <c r="M73" s="2"/>
      <c r="N73" s="2"/>
      <c r="O73" s="2"/>
      <c r="P73" s="2"/>
      <c r="Q73" s="2"/>
      <c r="R73" s="2"/>
      <c r="W73" t="s">
        <v>116</v>
      </c>
      <c r="X73" s="46">
        <v>1753.08</v>
      </c>
    </row>
    <row r="74" spans="1:23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"/>
      <c r="L74" s="2"/>
      <c r="M74" s="2"/>
      <c r="N74" s="2"/>
      <c r="O74" s="2"/>
      <c r="P74" s="2"/>
      <c r="Q74" s="2"/>
      <c r="R74" s="2"/>
      <c r="W74" t="s">
        <v>24</v>
      </c>
    </row>
    <row r="75" spans="1:24" ht="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"/>
      <c r="L75" s="2"/>
      <c r="M75" s="2"/>
      <c r="N75" s="2"/>
      <c r="O75" s="2"/>
      <c r="P75" s="2"/>
      <c r="Q75" s="2"/>
      <c r="R75" s="2"/>
      <c r="W75" t="s">
        <v>117</v>
      </c>
      <c r="X75" s="46">
        <v>1687.53</v>
      </c>
    </row>
    <row r="76" spans="1:18" ht="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"/>
      <c r="L76" s="2"/>
      <c r="M76" s="2"/>
      <c r="N76" s="2"/>
      <c r="O76" s="2"/>
      <c r="P76" s="2"/>
      <c r="Q76" s="2"/>
      <c r="R76" s="2"/>
    </row>
    <row r="77" spans="1:23" ht="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"/>
      <c r="L77" s="2"/>
      <c r="M77" s="2"/>
      <c r="N77" s="2"/>
      <c r="O77" s="2"/>
      <c r="P77" s="2"/>
      <c r="Q77" s="2"/>
      <c r="R77" s="2"/>
      <c r="W77" t="s">
        <v>88</v>
      </c>
    </row>
    <row r="78" spans="1:23" ht="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2"/>
      <c r="L78" s="2"/>
      <c r="M78" s="2"/>
      <c r="N78" s="2"/>
      <c r="O78" s="2"/>
      <c r="P78" s="2"/>
      <c r="Q78" s="2"/>
      <c r="R78" s="2"/>
      <c r="W78" t="s">
        <v>24</v>
      </c>
    </row>
    <row r="79" spans="1:24" ht="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2"/>
      <c r="L79" s="2"/>
      <c r="M79" s="2"/>
      <c r="N79" s="2"/>
      <c r="O79" s="2"/>
      <c r="P79" s="2"/>
      <c r="Q79" s="2"/>
      <c r="R79" s="2"/>
      <c r="W79" t="s">
        <v>112</v>
      </c>
      <c r="X79">
        <v>1448.06</v>
      </c>
    </row>
    <row r="80" spans="1:18" ht="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2"/>
      <c r="L80" s="2"/>
      <c r="M80" s="2"/>
      <c r="N80" s="2"/>
      <c r="O80" s="2"/>
      <c r="P80" s="2"/>
      <c r="Q80" s="2"/>
      <c r="R80" s="2"/>
    </row>
    <row r="81" spans="1:18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2"/>
      <c r="L81" s="2"/>
      <c r="M81" s="2"/>
      <c r="N81" s="2"/>
      <c r="O81" s="2"/>
      <c r="P81" s="2"/>
      <c r="Q81" s="2"/>
      <c r="R81" s="2"/>
    </row>
    <row r="82" spans="1:25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2"/>
      <c r="L82" s="2"/>
      <c r="M82" s="2"/>
      <c r="N82" s="2"/>
      <c r="O82" s="2"/>
      <c r="P82" s="2"/>
      <c r="Q82" s="2"/>
      <c r="R82" s="2"/>
      <c r="W82" s="154" t="s">
        <v>89</v>
      </c>
      <c r="X82" s="154"/>
      <c r="Y82" s="154"/>
    </row>
    <row r="83" spans="1:25" ht="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2"/>
      <c r="L83" s="2"/>
      <c r="M83" s="2"/>
      <c r="N83" s="2"/>
      <c r="O83" s="2"/>
      <c r="P83" s="2"/>
      <c r="Q83" s="2"/>
      <c r="R83" s="2"/>
      <c r="W83" s="102"/>
      <c r="X83" s="102" t="s">
        <v>24</v>
      </c>
      <c r="Y83" s="102"/>
    </row>
    <row r="84" spans="1:25" ht="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2"/>
      <c r="L84" s="2"/>
      <c r="M84" s="2"/>
      <c r="N84" s="2"/>
      <c r="O84" s="2"/>
      <c r="P84" s="2"/>
      <c r="Q84" s="2"/>
      <c r="R84" s="2"/>
      <c r="W84" s="154" t="s">
        <v>82</v>
      </c>
      <c r="X84" s="46" t="s">
        <v>115</v>
      </c>
      <c r="Y84" s="46"/>
    </row>
    <row r="85" spans="1:25" ht="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2"/>
      <c r="L85" s="2"/>
      <c r="M85" s="2"/>
      <c r="N85" s="2"/>
      <c r="O85" s="2"/>
      <c r="P85" s="2"/>
      <c r="Q85" s="2"/>
      <c r="R85" s="2"/>
      <c r="W85" s="154"/>
      <c r="X85" s="46" t="s">
        <v>114</v>
      </c>
      <c r="Y85" s="46">
        <v>361.14</v>
      </c>
    </row>
    <row r="86" spans="1:25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2"/>
      <c r="L86" s="2"/>
      <c r="M86" s="2"/>
      <c r="N86" s="2"/>
      <c r="O86" s="2"/>
      <c r="P86" s="2"/>
      <c r="Q86" s="2"/>
      <c r="R86" s="2"/>
      <c r="W86" s="154"/>
      <c r="X86" s="46" t="s">
        <v>113</v>
      </c>
      <c r="Y86" s="46">
        <v>15.44</v>
      </c>
    </row>
    <row r="87" spans="1:25" ht="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2"/>
      <c r="L87" s="2"/>
      <c r="M87" s="2"/>
      <c r="N87" s="2"/>
      <c r="O87" s="2"/>
      <c r="P87" s="2"/>
      <c r="Q87" s="2"/>
      <c r="R87" s="2"/>
      <c r="W87" s="154"/>
      <c r="X87" s="46" t="s">
        <v>84</v>
      </c>
      <c r="Y87" s="46">
        <v>2.98</v>
      </c>
    </row>
    <row r="88" spans="1:25" ht="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2"/>
      <c r="L88" s="2"/>
      <c r="M88" s="2"/>
      <c r="N88" s="2"/>
      <c r="O88" s="2"/>
      <c r="P88" s="2"/>
      <c r="Q88" s="2"/>
      <c r="R88" s="2"/>
      <c r="W88" s="102"/>
      <c r="X88" s="46" t="s">
        <v>24</v>
      </c>
      <c r="Y88" s="46"/>
    </row>
    <row r="89" spans="1:25" ht="1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2"/>
      <c r="L89" s="2"/>
      <c r="M89" s="2"/>
      <c r="N89" s="2"/>
      <c r="O89" s="2"/>
      <c r="P89" s="2"/>
      <c r="Q89" s="2"/>
      <c r="R89" s="2"/>
      <c r="W89" s="154" t="s">
        <v>83</v>
      </c>
      <c r="X89" s="46" t="s">
        <v>115</v>
      </c>
      <c r="Y89" s="46"/>
    </row>
    <row r="90" spans="1:25" ht="1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2"/>
      <c r="L90" s="2"/>
      <c r="M90" s="2"/>
      <c r="N90" s="2"/>
      <c r="O90" s="2"/>
      <c r="P90" s="2"/>
      <c r="Q90" s="2"/>
      <c r="R90" s="2"/>
      <c r="W90" s="154"/>
      <c r="X90" s="46" t="s">
        <v>114</v>
      </c>
      <c r="Y90" s="46">
        <v>118.78</v>
      </c>
    </row>
    <row r="91" spans="1:25" ht="1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2"/>
      <c r="L91" s="2"/>
      <c r="M91" s="2"/>
      <c r="N91" s="2"/>
      <c r="O91" s="2"/>
      <c r="P91" s="2"/>
      <c r="Q91" s="2"/>
      <c r="R91" s="2"/>
      <c r="W91" s="154"/>
      <c r="X91" s="46" t="s">
        <v>113</v>
      </c>
      <c r="Y91" s="46">
        <v>13.17</v>
      </c>
    </row>
    <row r="92" spans="1:25" ht="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2"/>
      <c r="L92" s="2"/>
      <c r="M92" s="2"/>
      <c r="N92" s="2"/>
      <c r="O92" s="2"/>
      <c r="P92" s="2"/>
      <c r="Q92" s="2"/>
      <c r="R92" s="2"/>
      <c r="W92" s="154"/>
      <c r="X92" s="46" t="s">
        <v>84</v>
      </c>
      <c r="Y92" s="46">
        <v>4.35</v>
      </c>
    </row>
    <row r="93" spans="1:18" ht="1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2"/>
      <c r="L93" s="2"/>
      <c r="M93" s="2"/>
      <c r="N93" s="2"/>
      <c r="O93" s="2"/>
      <c r="P93" s="2"/>
      <c r="Q93" s="2"/>
      <c r="R93" s="2"/>
    </row>
    <row r="94" spans="1:18" ht="1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2"/>
      <c r="L94" s="2"/>
      <c r="M94" s="2"/>
      <c r="N94" s="2"/>
      <c r="O94" s="2"/>
      <c r="P94" s="2"/>
      <c r="Q94" s="2"/>
      <c r="R94" s="2"/>
    </row>
    <row r="95" spans="1:25" ht="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2"/>
      <c r="L95" s="2"/>
      <c r="M95" s="2"/>
      <c r="N95" s="2"/>
      <c r="O95" s="2"/>
      <c r="P95" s="2"/>
      <c r="Q95" s="2"/>
      <c r="R95" s="2"/>
      <c r="W95" s="154" t="s">
        <v>90</v>
      </c>
      <c r="X95" s="154"/>
      <c r="Y95" s="154"/>
    </row>
    <row r="96" spans="1:25" ht="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W96" s="102"/>
      <c r="X96" s="102" t="s">
        <v>24</v>
      </c>
      <c r="Y96" s="102"/>
    </row>
    <row r="97" spans="1:24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W97" s="154" t="s">
        <v>82</v>
      </c>
      <c r="X97" s="46" t="s">
        <v>115</v>
      </c>
    </row>
    <row r="98" spans="1:25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W98" s="154"/>
      <c r="X98" s="46" t="s">
        <v>114</v>
      </c>
      <c r="Y98" s="46">
        <v>384.42</v>
      </c>
    </row>
    <row r="99" spans="1:25" ht="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W99" s="154"/>
      <c r="X99" s="46" t="s">
        <v>113</v>
      </c>
      <c r="Y99" s="46">
        <v>16.44</v>
      </c>
    </row>
    <row r="100" spans="1:25" ht="1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W100" s="154"/>
      <c r="X100" s="46" t="s">
        <v>84</v>
      </c>
      <c r="Y100" s="46">
        <v>3.17</v>
      </c>
    </row>
    <row r="101" spans="1:24" ht="1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W101" s="102"/>
      <c r="X101" t="s">
        <v>24</v>
      </c>
    </row>
    <row r="102" spans="1:24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W102" s="154" t="s">
        <v>83</v>
      </c>
      <c r="X102" s="46" t="s">
        <v>115</v>
      </c>
    </row>
    <row r="103" spans="1:25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W103" s="154"/>
      <c r="X103" s="46" t="s">
        <v>114</v>
      </c>
      <c r="Y103">
        <v>130.48</v>
      </c>
    </row>
    <row r="104" spans="1:25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W104" s="154"/>
      <c r="X104" s="46" t="s">
        <v>113</v>
      </c>
      <c r="Y104">
        <v>14.46</v>
      </c>
    </row>
    <row r="105" spans="1:25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W105" s="154"/>
      <c r="X105" s="46" t="s">
        <v>84</v>
      </c>
      <c r="Y105">
        <v>4.78</v>
      </c>
    </row>
    <row r="106" spans="1:10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1:24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X107" s="46"/>
    </row>
    <row r="108" spans="1:24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X108">
        <v>1</v>
      </c>
    </row>
    <row r="109" spans="1:24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X109">
        <v>2</v>
      </c>
    </row>
    <row r="110" spans="1:24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X110">
        <v>3</v>
      </c>
    </row>
    <row r="111" spans="1:24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X111">
        <v>4</v>
      </c>
    </row>
    <row r="112" spans="1:10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1:10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1:10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</row>
    <row r="115" spans="1:10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</row>
    <row r="116" spans="1:10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</row>
    <row r="117" spans="1:10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</row>
    <row r="118" spans="1:10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</row>
    <row r="119" spans="1:10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spans="1:10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</row>
    <row r="121" spans="1:10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1:10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</row>
    <row r="123" spans="1:10" ht="11.2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</row>
    <row r="124" spans="1:10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</row>
    <row r="125" spans="1:10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</row>
    <row r="126" spans="1:10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</row>
    <row r="127" spans="1:10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</row>
  </sheetData>
  <sheetProtection password="CA9C" sheet="1"/>
  <mergeCells count="26">
    <mergeCell ref="W102:W105"/>
    <mergeCell ref="W53:Y53"/>
    <mergeCell ref="W82:Y82"/>
    <mergeCell ref="W84:W87"/>
    <mergeCell ref="W89:W92"/>
    <mergeCell ref="W95:Y95"/>
    <mergeCell ref="W97:W100"/>
    <mergeCell ref="H24:J24"/>
    <mergeCell ref="H25:J25"/>
    <mergeCell ref="H28:J28"/>
    <mergeCell ref="H29:J29"/>
    <mergeCell ref="A49:L49"/>
    <mergeCell ref="A50:M69"/>
    <mergeCell ref="H15:J15"/>
    <mergeCell ref="H17:J17"/>
    <mergeCell ref="H18:J18"/>
    <mergeCell ref="H20:J20"/>
    <mergeCell ref="H21:J21"/>
    <mergeCell ref="A22:C22"/>
    <mergeCell ref="H22:J22"/>
    <mergeCell ref="A9:C9"/>
    <mergeCell ref="A10:C10"/>
    <mergeCell ref="A11:C11"/>
    <mergeCell ref="G12:L12"/>
    <mergeCell ref="A1:M2"/>
    <mergeCell ref="H14:J14"/>
  </mergeCells>
  <dataValidations count="12">
    <dataValidation type="list" allowBlank="1" showInputMessage="1" showErrorMessage="1" sqref="D14">
      <formula1>$X$54:$X$58</formula1>
    </dataValidation>
    <dataValidation type="list" allowBlank="1" showInputMessage="1" showErrorMessage="1" sqref="D15">
      <formula1>$X$59:$X$63</formula1>
    </dataValidation>
    <dataValidation type="list" allowBlank="1" showInputMessage="1" showErrorMessage="1" sqref="D17">
      <formula1>$W$66:$W$67</formula1>
    </dataValidation>
    <dataValidation type="list" allowBlank="1" showInputMessage="1" showErrorMessage="1" sqref="D18">
      <formula1>$W$68:$W$69</formula1>
    </dataValidation>
    <dataValidation type="list" allowBlank="1" showInputMessage="1" showErrorMessage="1" sqref="D20">
      <formula1>$W$72:$W$73</formula1>
    </dataValidation>
    <dataValidation type="list" allowBlank="1" showInputMessage="1" showErrorMessage="1" sqref="D21">
      <formula1>$W$74:$W$75</formula1>
    </dataValidation>
    <dataValidation type="list" allowBlank="1" showInputMessage="1" showErrorMessage="1" sqref="D22">
      <formula1>$W$78:$W$79</formula1>
    </dataValidation>
    <dataValidation type="list" allowBlank="1" showInputMessage="1" showErrorMessage="1" sqref="D24">
      <formula1>$X$83:$X$87</formula1>
    </dataValidation>
    <dataValidation type="list" allowBlank="1" showInputMessage="1" showErrorMessage="1" sqref="D25">
      <formula1>$X$88:$X$92</formula1>
    </dataValidation>
    <dataValidation type="list" allowBlank="1" showInputMessage="1" showErrorMessage="1" sqref="D28">
      <formula1>$X$96:$X$100</formula1>
    </dataValidation>
    <dataValidation type="list" allowBlank="1" showInputMessage="1" showErrorMessage="1" sqref="D29">
      <formula1>$X$101:$X$105</formula1>
    </dataValidation>
    <dataValidation type="list" allowBlank="1" showInputMessage="1" showErrorMessage="1" sqref="D8">
      <formula1>$X$107:$X$111</formula1>
    </dataValidation>
  </dataValidations>
  <printOptions/>
  <pageMargins left="0.7874015748031497" right="0.31496062992125984" top="0.31496062992125984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Анатольевич Танцырев</dc:creator>
  <cp:keywords/>
  <dc:description/>
  <cp:lastModifiedBy>Ксения Михайловна Досмаева</cp:lastModifiedBy>
  <cp:lastPrinted>2017-08-23T06:24:28Z</cp:lastPrinted>
  <dcterms:created xsi:type="dcterms:W3CDTF">2013-08-23T01:26:32Z</dcterms:created>
  <dcterms:modified xsi:type="dcterms:W3CDTF">2017-09-19T02:35:44Z</dcterms:modified>
  <cp:category/>
  <cp:version/>
  <cp:contentType/>
  <cp:contentStatus/>
</cp:coreProperties>
</file>