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717" activeTab="1"/>
  </bookViews>
  <sheets>
    <sheet name="Стандарт. ставки более 150кВт" sheetId="1" r:id="rId1"/>
    <sheet name="По мощности более 150кВт" sheetId="2" r:id="rId2"/>
    <sheet name="Расчет по мощност менее 150 кВт" sheetId="3" r:id="rId3"/>
  </sheets>
  <definedNames>
    <definedName name="Z_6031880C_E915_4C46_A9BE_E599484C6450_.wvu.Cols" localSheetId="1" hidden="1">'По мощности более 150кВт'!$G:$H,'По мощности более 150кВт'!$L:$M,'По мощности более 150кВт'!$W:$AA</definedName>
    <definedName name="Z_6031880C_E915_4C46_A9BE_E599484C6450_.wvu.Cols" localSheetId="2" hidden="1">'Расчет по мощност менее 150 кВт'!$A:$W,'Расчет по мощност менее 150 кВт'!$AD:$AD,'Расчет по мощност менее 150 кВт'!$AG:$AG</definedName>
    <definedName name="Z_6031880C_E915_4C46_A9BE_E599484C6450_.wvu.Cols" localSheetId="0" hidden="1">'Стандарт. ставки более 150кВт'!$A:$W,'Стандарт. ставки более 150кВт'!$AD:$AD,'Стандарт. ставки более 150кВт'!$AG:$AG</definedName>
  </definedNames>
  <calcPr fullCalcOnLoad="1"/>
</workbook>
</file>

<file path=xl/sharedStrings.xml><?xml version="1.0" encoding="utf-8"?>
<sst xmlns="http://schemas.openxmlformats.org/spreadsheetml/2006/main" count="1194" uniqueCount="300">
  <si>
    <t>6-10</t>
  </si>
  <si>
    <t>С1 за технологическое присоединение</t>
  </si>
  <si>
    <t>С2 строительство ВЛ</t>
  </si>
  <si>
    <t>руб/км</t>
  </si>
  <si>
    <t>С3 строительство КЛ</t>
  </si>
  <si>
    <t>С4 строительство подстанций</t>
  </si>
  <si>
    <t>2КТПБ-400/10/0,4</t>
  </si>
  <si>
    <t>2КТПБ-630/10/0,4</t>
  </si>
  <si>
    <t>2КТПБ-1000/10/0,4</t>
  </si>
  <si>
    <t>2КТПН-400/10/0,4</t>
  </si>
  <si>
    <t>2КТПН-630/10/0,4</t>
  </si>
  <si>
    <t>КТПН-250/10/0,4</t>
  </si>
  <si>
    <t>КТПН-400/10/0,4</t>
  </si>
  <si>
    <t>СТП-40/6/0,4</t>
  </si>
  <si>
    <t>СТП-100/6/0,4</t>
  </si>
  <si>
    <t>СТП-160/6/0,4</t>
  </si>
  <si>
    <t>СТП-250/6/0,4</t>
  </si>
  <si>
    <t>руб/кВт</t>
  </si>
  <si>
    <t>км</t>
  </si>
  <si>
    <t>Максимальная мощность:</t>
  </si>
  <si>
    <t>кВт</t>
  </si>
  <si>
    <t>Итог:</t>
  </si>
  <si>
    <t>руб (с НДС)</t>
  </si>
  <si>
    <t>руб (без НДС)</t>
  </si>
  <si>
    <t>-</t>
  </si>
  <si>
    <t>руб (НДС)</t>
  </si>
  <si>
    <t>0,4кВ менее 15</t>
  </si>
  <si>
    <t xml:space="preserve">0,4кВ более 670 </t>
  </si>
  <si>
    <t xml:space="preserve">6-10кВ менее 15 </t>
  </si>
  <si>
    <t>6-10кВ более 670</t>
  </si>
  <si>
    <t>0,4кВ АПвБбШв-1 4*25</t>
  </si>
  <si>
    <t>0,4кВ АПвБбШв-1 4*35</t>
  </si>
  <si>
    <t>0,4кВ АПвБбШв-1 4*50</t>
  </si>
  <si>
    <t>0,4кВ АПвБбШв-1 4*70</t>
  </si>
  <si>
    <t>0,4кВ АПвБбШв-1 4*95</t>
  </si>
  <si>
    <t>0,4кВ АПвБбШв-1 4*150</t>
  </si>
  <si>
    <t>0,4кВ АПвБбШв-1 4*120</t>
  </si>
  <si>
    <t>6-10кВ АСБ 3*50</t>
  </si>
  <si>
    <t>6-10кВ АСБ 3*70</t>
  </si>
  <si>
    <t>6-10кВ АСБ 3*120</t>
  </si>
  <si>
    <t>6-10кВ АСБ 3*150</t>
  </si>
  <si>
    <t>6-10кВ АСБ 3*185</t>
  </si>
  <si>
    <t>6-10кВ АСБ 3*240</t>
  </si>
  <si>
    <t>6-10кВ АСБ 3*240 ж/б</t>
  </si>
  <si>
    <t xml:space="preserve">руб/кВт </t>
  </si>
  <si>
    <t xml:space="preserve">руб/км </t>
  </si>
  <si>
    <t>руб</t>
  </si>
  <si>
    <t>Бакунин А.В.</t>
  </si>
  <si>
    <t>Зам. директора по развитию</t>
  </si>
  <si>
    <t>Начальник ПЭО</t>
  </si>
  <si>
    <t>Организация:</t>
  </si>
  <si>
    <t>Объект:</t>
  </si>
  <si>
    <t>Адрес:</t>
  </si>
  <si>
    <t>РАСЧЕТ РАЗМЕРА ПЛАТЫ ЗА ТЕХНОЛОГИЧЕСКОЕ ПРИСОЕДИНЕНИЕ</t>
  </si>
  <si>
    <t>Беломестных О.Г.</t>
  </si>
  <si>
    <t>Тех.пр. 6-10кВ</t>
  </si>
  <si>
    <t>Тех.пр. 0,4кВ</t>
  </si>
  <si>
    <t>ВЛ 6-10кВ</t>
  </si>
  <si>
    <t>ВЛ 0,4кВ</t>
  </si>
  <si>
    <t>КЛ 6-10кВ</t>
  </si>
  <si>
    <t>КЛ 0,4кВ</t>
  </si>
  <si>
    <t>ТП</t>
  </si>
  <si>
    <t>Максимальная мощность (сущ.):</t>
  </si>
  <si>
    <t>Протяженность ВЛ 6-10кВ:</t>
  </si>
  <si>
    <t>Протяженность КЛ 6-10кВ:</t>
  </si>
  <si>
    <t>Протяженность ВЛ 0,4кВ:</t>
  </si>
  <si>
    <t>Протяженность КЛ 0,4кВ:</t>
  </si>
  <si>
    <t>Подготовка ТУ и согласование:</t>
  </si>
  <si>
    <t>Строительство КЛ*:</t>
  </si>
  <si>
    <t>Проверка выполнения ТУ:</t>
  </si>
  <si>
    <t>Индекс¹:</t>
  </si>
  <si>
    <t>0,4кВ</t>
  </si>
  <si>
    <t>6-10кВ</t>
  </si>
  <si>
    <t>свыше 670</t>
  </si>
  <si>
    <t>подготовка ТУ и согласование</t>
  </si>
  <si>
    <t>Проверка выполнения ТУ</t>
  </si>
  <si>
    <t>ставка платы с Uном 0,4кВ</t>
  </si>
  <si>
    <t>ставка платы с Uном 6-10кВ</t>
  </si>
  <si>
    <t>КТП - комплектная трансформаторная подстанция;</t>
  </si>
  <si>
    <t>РТП - распределительная трансформаторная подстанция.</t>
  </si>
  <si>
    <t>КТПН-630/10/0,4</t>
  </si>
  <si>
    <t>0,4кВ АПвБбШв-1 4*185</t>
  </si>
  <si>
    <t xml:space="preserve">0,4кВ 15-150 </t>
  </si>
  <si>
    <t xml:space="preserve">0,4кВ 150-670 </t>
  </si>
  <si>
    <t>6-10кВ 15-150</t>
  </si>
  <si>
    <t>6-10кВ 150-670</t>
  </si>
  <si>
    <t>0,4кВ АПвБбШв-1 4*25 две нити</t>
  </si>
  <si>
    <t>0,4кВ АПвБбШв-1 4*35 две нити</t>
  </si>
  <si>
    <t>0,4кВ АПвБбШв-1 4*50 две нити</t>
  </si>
  <si>
    <t>0,4кВ АПвБбШв-1 4*70 две нити</t>
  </si>
  <si>
    <t>0,4кВ АПвБбШв-1 4*95 две нити</t>
  </si>
  <si>
    <t>0,4кВ АПвБбШв-1 4*120 две нити</t>
  </si>
  <si>
    <t>0,4кВ АПвБбШв-1 4*150 две нити</t>
  </si>
  <si>
    <t>0,4кВ АПвБбШв-1 4*185 две нити</t>
  </si>
  <si>
    <t>150 - 670 вкл</t>
  </si>
  <si>
    <t>15 - 150 вкл</t>
  </si>
  <si>
    <t>&lt; 15</t>
  </si>
  <si>
    <t>Промежуточный итог (без НДС)</t>
  </si>
  <si>
    <t>Квл</t>
  </si>
  <si>
    <t>Индекс</t>
  </si>
  <si>
    <t>Кт</t>
  </si>
  <si>
    <t>Ккл</t>
  </si>
  <si>
    <t>Выбери нужную КЛ, ВЛ, ТП из выпадающего списка</t>
  </si>
  <si>
    <t>6-10кВ СИП-3 35 (1 цепь)</t>
  </si>
  <si>
    <t>6-10кВ СИП-3 50 (1 цепь)</t>
  </si>
  <si>
    <t>6-10кВ СИП-3 70 (1 цепь)</t>
  </si>
  <si>
    <t>6-10кВ СИП-3 95 (1 цепь)</t>
  </si>
  <si>
    <t>6-10кВ СИП-3 120 (1 цепь)</t>
  </si>
  <si>
    <t>6-10кВ СИП-3 70 (2 цепь)</t>
  </si>
  <si>
    <t>6-10кВ СИП-3 95 (2 цепь)</t>
  </si>
  <si>
    <t>6-10кВ СИП-3 120 (2 цепь)</t>
  </si>
  <si>
    <t>0,4кВ АПвБбШв-1 4*240</t>
  </si>
  <si>
    <t>0,4кВ АВБбШВ 4*10</t>
  </si>
  <si>
    <t>0,4кВ АВБбШВ 4*35</t>
  </si>
  <si>
    <t>0,4кВ АВБбШВ 4*50</t>
  </si>
  <si>
    <t>0,4кВ АВБбШВ 4*70</t>
  </si>
  <si>
    <t>0,4кВ АВБбШВ 4*95</t>
  </si>
  <si>
    <t>0,4кВ АВБбШВ 4*120</t>
  </si>
  <si>
    <t>0,4кВ АВБбШВ 4*150</t>
  </si>
  <si>
    <t>0,4кВ АВБбШВ 4*185</t>
  </si>
  <si>
    <t>0,4кВ АВБбШВ 4*240</t>
  </si>
  <si>
    <t>0,4кВ АВБбШВ 4*50 две нити</t>
  </si>
  <si>
    <t>0,4кВ АВБбШВ 4*70 две нити</t>
  </si>
  <si>
    <t>0,4кВ АВБбШВ 4*95 две нити</t>
  </si>
  <si>
    <t>0,4кВ АВБбШВ 4*120 две нити</t>
  </si>
  <si>
    <t>0,4кВ АВБбШВ 4*150 две нити</t>
  </si>
  <si>
    <t>0,4кВ АВБбШВ 4*185 две нити</t>
  </si>
  <si>
    <t>0,4кВ АВБбШВ 4*240 две нити</t>
  </si>
  <si>
    <t>6-10кВ АСБ 3*95</t>
  </si>
  <si>
    <t>строительство РП с 12 высоковольтными ячейками</t>
  </si>
  <si>
    <t>строительство РП с 24 высоковольтными ячейками</t>
  </si>
  <si>
    <t>строительство реклоузера</t>
  </si>
  <si>
    <t>строительство РП 11МВт</t>
  </si>
  <si>
    <t>строительство РП 5-7МВт</t>
  </si>
  <si>
    <t>строительство КСО-386-11</t>
  </si>
  <si>
    <t>0,4кВ СИП-2 3*185+1*95 СИП на ж/б опорах</t>
  </si>
  <si>
    <t>0,4кВ А-35 на ж/б опорах</t>
  </si>
  <si>
    <t>0,4кВ 4А-50 на ж/б опорах</t>
  </si>
  <si>
    <t>6-10кВ СИП-3 35 (1 цепь) на ж/б опорах</t>
  </si>
  <si>
    <t>6-10кВ СИП-3 50 (1 цепь) на ж/б опорах</t>
  </si>
  <si>
    <t>6-10кВ СИП-3 70 (1 цепь) на ж/б опорах</t>
  </si>
  <si>
    <t>6-10кВ СИП-3 95 (1 цепь) на ж/б опорах</t>
  </si>
  <si>
    <t>6-10кВ СИП-3 120 (1 цепь) на ж/б опорах</t>
  </si>
  <si>
    <t>6-10кВ СИП-3 70 (2 цепь) на ж/б опорах</t>
  </si>
  <si>
    <t>6-10кВ СИП-3 95 (2 цепь) на ж/б опорах</t>
  </si>
  <si>
    <t>6-10кВ СИП-3 120 (2 цепь) на ж/б опорах</t>
  </si>
  <si>
    <t>6-10кВ АС-25 (1 цепь) на ж/б опорах</t>
  </si>
  <si>
    <t>6-10кВ АС-50 (1 цепь) на ж/б опорах</t>
  </si>
  <si>
    <t>6-10кВ 3АС-70 (1 цепь) на ж/б опорах</t>
  </si>
  <si>
    <t>6-10кВ АС-95 (1 цепь) на ж/б опорах</t>
  </si>
  <si>
    <t>6-10кВ АС-95 (2 цепь) на ж/б опорах</t>
  </si>
  <si>
    <t>6-10кВ СИП3 1*70 (1 цепь) без опор</t>
  </si>
  <si>
    <t>6-10кВ АСБ 3*50 без ГНБ</t>
  </si>
  <si>
    <t>6-10кВ АСБ 3*50 две нити без ГНБ</t>
  </si>
  <si>
    <t>6-10кВ АСБ 3*70 без ГНБ</t>
  </si>
  <si>
    <t>6-10кВ АСБ 3*70 две нити без ГНБ</t>
  </si>
  <si>
    <t>6-10кВ АСБ 3*95 без ГНБ</t>
  </si>
  <si>
    <t>6-10кВ АСБ 3*120 без ГНБ</t>
  </si>
  <si>
    <t>6-10кВ АСБ 3*120 две нити без ГНБ</t>
  </si>
  <si>
    <t>6-10кВ АСБ 3*150 без ГНБ</t>
  </si>
  <si>
    <t>6-10кВ АСБ 3*150 две нити без ГНБ</t>
  </si>
  <si>
    <t>6-10кВ АСБ 3*185 без ГНБ</t>
  </si>
  <si>
    <t>6-10кВ АСБ 3*185 две нити без ГНБ</t>
  </si>
  <si>
    <t>6-10кВ АСБ 3*240 без ГНБ</t>
  </si>
  <si>
    <t>6-10кВ АСБ 3*240 две нити без ГНБ</t>
  </si>
  <si>
    <t>6-10кВ АСБ 3*240 ж/б лотках две нити без ГНБ</t>
  </si>
  <si>
    <t>6-10кВ ААБл-10 3*70</t>
  </si>
  <si>
    <t>6-10кВ ААБл-10 3*95</t>
  </si>
  <si>
    <t>6-10кВ ААБл-10 3*120</t>
  </si>
  <si>
    <t>6-10кВ ААБл-10 3*150</t>
  </si>
  <si>
    <t>6-10кВ ААБл-10 3*185</t>
  </si>
  <si>
    <t>6-10кВ ААБл-10 3*240</t>
  </si>
  <si>
    <t>6-10кВ ААБл-10 3*185 две нити без ГНБ</t>
  </si>
  <si>
    <t>6-10кВ АПвП-1*50</t>
  </si>
  <si>
    <t>6-10кВ АПвП-1*70</t>
  </si>
  <si>
    <t>6-10кВ АПвП-1*95</t>
  </si>
  <si>
    <t>6-10кВ АПвП-1*120</t>
  </si>
  <si>
    <t>6-10кВ АПвП-1*150</t>
  </si>
  <si>
    <t>6-10кВ АПвП-1*185</t>
  </si>
  <si>
    <t>6-10кВ АПвП-1*240</t>
  </si>
  <si>
    <t>6-10кВ АПвП-1*300</t>
  </si>
  <si>
    <t>6-10кВ АПвП-1*400</t>
  </si>
  <si>
    <t>6-10кВ АПвП-1*500</t>
  </si>
  <si>
    <t>6-10кВ АПвП-1*630</t>
  </si>
  <si>
    <t>6-10кВ АПвП-1*50 две нити</t>
  </si>
  <si>
    <t>6-10кВ АПвП-1*70 две нити</t>
  </si>
  <si>
    <t>6-10кВ АПвП-1*95 две нити</t>
  </si>
  <si>
    <t>6-10кВ АПвП-1*120 две нити</t>
  </si>
  <si>
    <t>6-10кВ АПвП-1*150 две нити</t>
  </si>
  <si>
    <t>6-10кВ АПвП-1*185 две нити</t>
  </si>
  <si>
    <t>6-10кВ АПвП-1*240 две нити</t>
  </si>
  <si>
    <t>6-10кВ АПвП-1*300 две нити</t>
  </si>
  <si>
    <t>6-10кВ АПвП-1*400 две нити</t>
  </si>
  <si>
    <t>6-10кВ АПвП-1*500 две нити</t>
  </si>
  <si>
    <t>6-10кВ АПвП-1*630 две нити</t>
  </si>
  <si>
    <t>КТПК 63кВА,6(10)/0,4 киосковый тип</t>
  </si>
  <si>
    <t>КТПК 100кВА,6(10)/0,4 киосковый тип</t>
  </si>
  <si>
    <t>КТПК 160кВА,6(10)/0,4 киосковый тип</t>
  </si>
  <si>
    <t>КТПК 250кВА,6(10)/0,4 киосковый тип</t>
  </si>
  <si>
    <t>КТПК 400кВА,6(10)/0,4 киосковый тип</t>
  </si>
  <si>
    <t>КТПК 630кВА,6(10)/0,4 киосковый тип</t>
  </si>
  <si>
    <t>КТПК 1000кВА,6(10)/0,4 киосковый тип</t>
  </si>
  <si>
    <t>2КТПНУ-250кВА,6(10)/0,4</t>
  </si>
  <si>
    <t>КТПК 2*160кВА,6(10)/0,4 киосковый тип</t>
  </si>
  <si>
    <t>2КТПНУ-400кВА,6(10)/0,4</t>
  </si>
  <si>
    <t>2КТПНУ-630кВА,6(10)/0,4</t>
  </si>
  <si>
    <t>2КТПНУ-1000кВА,6(10)/0,4</t>
  </si>
  <si>
    <t>КТП-25кВА, столбовая</t>
  </si>
  <si>
    <t>КТП-40кВА, столбовая</t>
  </si>
  <si>
    <t>КТП-63кВА, столбовая</t>
  </si>
  <si>
    <t>КТП-100кВА, столбовая</t>
  </si>
  <si>
    <t>БКТП-400кВА</t>
  </si>
  <si>
    <t>БКТП-630кВА</t>
  </si>
  <si>
    <t>БКТП-1000кВА</t>
  </si>
  <si>
    <t>2КТП-100кВА киоского типа</t>
  </si>
  <si>
    <t>строительство БКРПТ 2*1250кВА</t>
  </si>
  <si>
    <t>строительство РТП 2*1000 кВА</t>
  </si>
  <si>
    <t>0,4кВ СИП-2 3*16+1*25  на ж/б опорах</t>
  </si>
  <si>
    <t>0,4кВ СИП-2 3*25+1*35  на ж/б опорах</t>
  </si>
  <si>
    <t>0,4кВ СИП-2 3*35+1*54,6  на ж/б опорах</t>
  </si>
  <si>
    <t>0,4кВ СИП-2 3*50+1*50 на ж/б опорах</t>
  </si>
  <si>
    <t>0,4кВ СИП-2 3*70+1*70  на ж/б опорах</t>
  </si>
  <si>
    <t>0,4кВ СИП-2 3*95+1*95  на ж/б опорах</t>
  </si>
  <si>
    <t>0,4кВ СИП-2 3*120+1*95  на ж/б опорах</t>
  </si>
  <si>
    <t>0,4кВ СИП-2 3*185+1*95  на ж/б опорах</t>
  </si>
  <si>
    <t>0,4кВ СИП-4 4*25  на ж/б опорах</t>
  </si>
  <si>
    <t>0,4кВ СИП-4 4*35  на ж/б опорах</t>
  </si>
  <si>
    <t>0,4кВ СИП-4 4*50  на ж/б опорах</t>
  </si>
  <si>
    <t>0,4кВ СИП-4 4*70  на ж/б опорах</t>
  </si>
  <si>
    <t>0,4кВ СИП-4 4*95  на ж/б опорах</t>
  </si>
  <si>
    <t>0,4кВ СИП-4 4*120  на ж/б опорах</t>
  </si>
  <si>
    <t>0,4кВ СИП-2 3*50+1*50 подвес без опор</t>
  </si>
  <si>
    <t>0,4кВ СИП-4 4*25  подвес без опор</t>
  </si>
  <si>
    <t>0,4кВ СИП-4 4*35  подвес без опор</t>
  </si>
  <si>
    <t>0,4кВ СИП-4 4*50 подвес без опор</t>
  </si>
  <si>
    <t>0,4кВ СИП-4 4*70  подвес без опор</t>
  </si>
  <si>
    <t>0,4кВ СИП-4 4*95  подвес без опор</t>
  </si>
  <si>
    <t>0,4кВ СИП-4 4*120 подвес без опор</t>
  </si>
  <si>
    <t>0,4кВ СИП-2 3*16+1*25 на ж/б опорах</t>
  </si>
  <si>
    <t>0,4кВ СИП-2 3*25+1*35 на ж/б опорах</t>
  </si>
  <si>
    <t>0,4кВ СИП-2 3*35+1*54,6 на ж/б опорах</t>
  </si>
  <si>
    <t>0,4кВ СИП-2 3*70+1*70 на ж/б опорах</t>
  </si>
  <si>
    <t>0,4кВ СИП-2 3*95+1*95 на ж/б опорах</t>
  </si>
  <si>
    <t>0,4кВ СИП-2 3*120+1*95 на ж/б опорах</t>
  </si>
  <si>
    <t>0,4кВ СИП-4 4*25 на ж/б опорах</t>
  </si>
  <si>
    <t>0,4кВ СИП-4 4*35 на ж/б опорах</t>
  </si>
  <si>
    <t>0,4кВ СИП-4 4*50 на ж/б опорах</t>
  </si>
  <si>
    <t>0,4кВ СИП-4 4*70 на ж/б опорах</t>
  </si>
  <si>
    <t>0,4кВ СИП-4 4*95 на ж/б опорах</t>
  </si>
  <si>
    <t>0,4кВ СИП-4 4*120 на ж/б опорах</t>
  </si>
  <si>
    <t>6-10кВ АС-35 (1 цепь) на ж/б опорах</t>
  </si>
  <si>
    <t>6-10кВ ААБл-10 3*185 две нити</t>
  </si>
  <si>
    <t>монтаж КТПК 63кВА,6(10)/0,4 киосковый тип</t>
  </si>
  <si>
    <t>монтаж КТПК 100кВА,6(10)/0,4 киосковый тип</t>
  </si>
  <si>
    <t>монтаж КТПК 160кВА,6(10)/0,4 киосковый тип</t>
  </si>
  <si>
    <t>монтаж КТПК 250кВА,6(10)/0,4 киосковый тип</t>
  </si>
  <si>
    <t>монтаж КТПК 400кВА,6(10)/0,4 киосковый тип</t>
  </si>
  <si>
    <t>монтаж КТПК 630кВА,6(10)/0,4 киосковый тип</t>
  </si>
  <si>
    <t>монтаж КТПК 1000кВА,6(10)/0,4 киосковый тип</t>
  </si>
  <si>
    <t>монтаж КТПК 2*160кВА,6(10)/0,4 киосковый тип</t>
  </si>
  <si>
    <t>монтаж 2КТПНУ-250кВА,6(10)/0,4</t>
  </si>
  <si>
    <t>монтаж 2КТПНУ-400кВА,6(10)/0,4</t>
  </si>
  <si>
    <t>монтаж 2КТПНУ-630кВА,6(10)/0,4</t>
  </si>
  <si>
    <t>монтаж 2КТПНУ-1000кВА,6(10)/0,4</t>
  </si>
  <si>
    <t>0,4кВ устройство переходов методом ГНБ с учетом кабеля</t>
  </si>
  <si>
    <t>6-10кВ устройство переходов методом ГНБ с учетом кабеля</t>
  </si>
  <si>
    <t>Промежуточный итог     (без НДС)</t>
  </si>
  <si>
    <t>ПО СТАНДАРТИЗИРОВАННЫМ ТАРИФНЫМ СТАВКАМ ДЛЯ ЗАЯВИТЕЛЕЙ СВЫШЕ 150 кВт</t>
  </si>
  <si>
    <t>РАСЧЕТ РАЗМЕРА ПЛАТЫ ЗА ТЕХНОЛОГИЧЕСКОЕ ПРИСОЕДИНЕНИЕ ЕДИНИЦЫ МОЩНОСТИ ДЛЯ ЗАЯВИТЕЛЕЙ  СВЫШЕ 150 кВт</t>
  </si>
  <si>
    <t>Инструкция по заполнению</t>
  </si>
  <si>
    <t>руб.</t>
  </si>
  <si>
    <t xml:space="preserve">
</t>
  </si>
  <si>
    <t>С5 строительство подстанций</t>
  </si>
  <si>
    <t>СТП-40/6/0,4 мачтовая</t>
  </si>
  <si>
    <t>СТП-100/6/0,4 мачтовая</t>
  </si>
  <si>
    <t>СТП-160/6/0,4 мачтовая</t>
  </si>
  <si>
    <t>СТП-250/6/0,4 мачтовая</t>
  </si>
  <si>
    <t>РП</t>
  </si>
  <si>
    <t>С4 строительство РП</t>
  </si>
  <si>
    <t>руб/шт</t>
  </si>
  <si>
    <t>РТП</t>
  </si>
  <si>
    <t>Строительство РТП до 35кВ:</t>
  </si>
  <si>
    <t>Строительство КТП до 35кВ:</t>
  </si>
  <si>
    <t>1. ячейка АА8: введите длину воздушной линии 6-10 кВ ;
    ячейка АА9: введите длину кабельной линии 6-10 кВ;
    ячейка АА10: введите длину кабельной линии 6-10 кВ;
    ячейка АА11: введите длину воздушной линии 0,4 кВ;
    ячейки АА12-АА13: введите длину кабельной линии 0,4 кВ;
    В ячейках АА8-АА13: вводятся длины (кабельной или воздушной) линий в киллометрах , которые необходимо построить от энергообъектов ООО «БСК» до участка заявителя.
    В ячейке АА14 вводится максимальная мощность  присоединяемых энергопринимающих устройств.
    В ячейке АА15 заполняется для объектов, которые ранее были присоединены, но у которых произошло  увеличение мощности в существующей точке присоединения.
2. Если присоединение происходит на уровне напряжения 6-10 кВ, то выберете нужное и нажав на стрелку в ячейке Z18 выберете  диапазон мощности.
    Если присоединение происходит на уровне напряжения 0,4 кВ, то выберете нужное и нажав на стрелку в ячейке Z19 выберете  диапазон мощности.
    Если воздушная линия имеет уровень напряжения 6-10 кВ, то выберете нужное и нажав на стрелку в ячейке Z20 выберете  нужную марку и сечение.
    Если воздушная линия имеет уровень напряжения 0,4 кВ, то выберете нужное и нажав на стрелку в ячейке Z21 выберете  нужную марку и сечение.
    Если кабельная линия имеет  уровень напряжения 6-10 кВ, то выберетенужное и нажав на стрелку в ячейке Z22 выберете  нужную марку и сечение.
    Если 2 кабельные линии имеют  уровень напряжения 6-10 кВ, то выберете нужное и нажав на стрелку в ячейках Z 22 (23) выберете  нужную марку и сечение.
    Если кабельная линия имеет уровень напряжения 0,4 кВ, то выберете нужное и нажав на стрелку в ячейке Z24 выберете  нужную марку и сечение.                                                                                                                               Если 2 кабельные линии имеют  уровень напряжения 0,4 кВ, то выберете нужное и нажав на стрелку в ячейках Z 24 (25) выберете  нужную марку и сечение.
    Если нужно построить Распределительнуй пункт, то выберете нужное и нажав на стрелку в ячейке Z26  выберете тип РП.</t>
  </si>
  <si>
    <t xml:space="preserve">    Если нужно построить Трансформаторную подстанцию, то выберете нужное и нажав на стрелку в ячейке Z27  выберете тип ТП.</t>
  </si>
  <si>
    <t xml:space="preserve">    Если нужно построить Распределительную трансформаторную подстанцию, то выберете нужное и нажав на стрелку в ячейке Z28  выберете тип РТП.</t>
  </si>
  <si>
    <t>от 0 до 150вкл</t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</si>
  <si>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В ячейке АА14 вводится максимальная мощность  присоединяемых энергопринимающих устройств.
    ячейка АА15 заполняется для объектов, которые ранее были присоединены, но у которых произошло  увеличение мощности в существующей точке присоединения.
</t>
    </r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Выберете, нажав на стрелку в ячейке Z18.
    Выберете, нажав на стрелку в ячейке Z19.
   </t>
    </r>
  </si>
  <si>
    <t>С1:</t>
  </si>
  <si>
    <t>С2:</t>
  </si>
  <si>
    <t>С3:</t>
  </si>
  <si>
    <t>С4:</t>
  </si>
  <si>
    <t>С5:</t>
  </si>
  <si>
    <t>С6:</t>
  </si>
  <si>
    <t>РАСЧЕТ ПЛАТЫ ЗА ТЕХНОЛОГИЧЕСКОЕ ПРИСОЕДИНЕНИЕ ДЛЯ ЗАЯВИТЕЛЕЙ МЕНЕЕ 150 кВт ПО МОЩНОСТИ</t>
  </si>
  <si>
    <t>Количество источников:</t>
  </si>
  <si>
    <t>шт</t>
  </si>
  <si>
    <r>
      <rPr>
        <b/>
        <i/>
        <sz val="12"/>
        <color indexed="8"/>
        <rFont val="Times New Roman"/>
        <family val="1"/>
      </rPr>
      <t xml:space="preserve">1. </t>
    </r>
    <r>
      <rPr>
        <sz val="12"/>
        <color indexed="8"/>
        <rFont val="Times New Roman"/>
        <family val="1"/>
      </rPr>
      <t xml:space="preserve">В ячейке D8 вводится количество источников электроснабжения;  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Times New Roman"/>
        <family val="1"/>
      </rPr>
      <t xml:space="preserve">В ячейке D9 вводится максимальная мощность  присоединенных энергопринимающих устройств.
     Ячейка D10 заполняется для объектов, которые ранее были присоединены, но у которых произошло  увеличение мощности в существующей точке присоединения.
     Ячейки D14 (D15), D25 (D26) : являются обязательными. В зависимости от уровня напряжения (0,4 кВ либо 6-10 кВ). нажав на стрелку выбирается  диапазон мощности </t>
    </r>
    <r>
      <rPr>
        <b/>
        <i/>
        <sz val="12"/>
        <color indexed="8"/>
        <rFont val="Times New Roman"/>
        <family val="1"/>
      </rPr>
      <t xml:space="preserve">
2. </t>
    </r>
    <r>
      <rPr>
        <sz val="12"/>
        <color indexed="8"/>
        <rFont val="Times New Roman"/>
        <family val="1"/>
      </rPr>
      <t>Если воздушная линия имеет уровень напряжения 6-10 кВ, то выберете нужное и нажав на стрелку в ячейке D18 выберете марку и сечение
     Если воздушная линия имеет уровень напряжения 0,4 кВ, то выберете нужное и нажав на стрелку в ячейке D17 выберете марку и сечение.
     Если кабельная линия имеет  уровень напряжения 6-10 кВ, то выберете нужное и нажав на стрелку в ячейке D21 выберете марку и сечение.
     Если кабельная линия имеет уровень напряжения 0,4 кВ, то выберете нужное и нажав на стрелку в ячейке Е20 выберете марку и сечение.
     Если нужно построить Трансформаторную подстанцию, то выберете нужное и нажав на стрелку в ячейке Е22 выберете  тип ТП.                                                                                                                                                                           Если нужно построить Распределительный трансформаторный пункт, то выберете нужное и нажав на стрелку в ячейке Е23 выберете  Тип РТП.</t>
    </r>
    <r>
      <rPr>
        <b/>
        <i/>
        <sz val="11"/>
        <color indexed="8"/>
        <rFont val="Times New Roman"/>
        <family val="1"/>
      </rPr>
      <t xml:space="preserve">
</t>
    </r>
  </si>
  <si>
    <t>Строительство ВЛ:</t>
  </si>
  <si>
    <t xml:space="preserve">* расчет производится для наиболее распространенных кабельных линий КЛ-6-10 кВ -185мм2  и КЛ-0,4кВ  120мм2, более точный расчет возможен только после получения технических условий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</si>
</sst>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4" fontId="54" fillId="0" borderId="0" xfId="0" applyNumberFormat="1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4" fontId="55" fillId="0" borderId="0" xfId="0" applyNumberFormat="1" applyFont="1" applyBorder="1" applyAlignment="1" applyProtection="1">
      <alignment/>
      <protection hidden="1"/>
    </xf>
    <xf numFmtId="4" fontId="54" fillId="0" borderId="0" xfId="0" applyNumberFormat="1" applyFont="1" applyBorder="1" applyAlignment="1" applyProtection="1">
      <alignment/>
      <protection locked="0"/>
    </xf>
    <xf numFmtId="165" fontId="54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49" fontId="54" fillId="0" borderId="0" xfId="0" applyNumberFormat="1" applyFont="1" applyBorder="1" applyAlignment="1" applyProtection="1">
      <alignment horizontal="left"/>
      <protection locked="0"/>
    </xf>
    <xf numFmtId="49" fontId="54" fillId="0" borderId="0" xfId="0" applyNumberFormat="1" applyFont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center"/>
      <protection locked="0"/>
    </xf>
    <xf numFmtId="49" fontId="5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Alignment="1" applyProtection="1">
      <alignment horizontal="left"/>
      <protection locked="0"/>
    </xf>
    <xf numFmtId="49" fontId="54" fillId="0" borderId="0" xfId="0" applyNumberFormat="1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right"/>
      <protection locked="0"/>
    </xf>
    <xf numFmtId="0" fontId="55" fillId="0" borderId="0" xfId="0" applyFont="1" applyBorder="1" applyAlignment="1" applyProtection="1">
      <alignment/>
      <protection hidden="1"/>
    </xf>
    <xf numFmtId="2" fontId="54" fillId="0" borderId="0" xfId="0" applyNumberFormat="1" applyFont="1" applyBorder="1" applyAlignment="1" applyProtection="1">
      <alignment/>
      <protection hidden="1"/>
    </xf>
    <xf numFmtId="166" fontId="54" fillId="0" borderId="0" xfId="0" applyNumberFormat="1" applyFont="1" applyBorder="1" applyAlignment="1" applyProtection="1">
      <alignment/>
      <protection locked="0"/>
    </xf>
    <xf numFmtId="0" fontId="54" fillId="0" borderId="0" xfId="0" applyNumberFormat="1" applyFont="1" applyBorder="1" applyAlignment="1" applyProtection="1">
      <alignment wrapText="1"/>
      <protection locked="0"/>
    </xf>
    <xf numFmtId="0" fontId="54" fillId="0" borderId="0" xfId="0" applyFont="1" applyBorder="1" applyAlignment="1" applyProtection="1">
      <alignment wrapText="1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 horizontal="right"/>
      <protection locked="0"/>
    </xf>
    <xf numFmtId="0" fontId="5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 locked="0"/>
    </xf>
    <xf numFmtId="49" fontId="54" fillId="0" borderId="0" xfId="0" applyNumberFormat="1" applyFont="1" applyBorder="1" applyAlignment="1" applyProtection="1">
      <alignment/>
      <protection hidden="1" locked="0"/>
    </xf>
    <xf numFmtId="49" fontId="54" fillId="0" borderId="0" xfId="0" applyNumberFormat="1" applyFont="1" applyAlignment="1" applyProtection="1">
      <alignment/>
      <protection hidden="1" locked="0"/>
    </xf>
    <xf numFmtId="0" fontId="54" fillId="0" borderId="0" xfId="0" applyFont="1" applyFill="1" applyBorder="1" applyAlignment="1" applyProtection="1">
      <alignment/>
      <protection hidden="1" locked="0"/>
    </xf>
    <xf numFmtId="4" fontId="54" fillId="0" borderId="0" xfId="0" applyNumberFormat="1" applyFont="1" applyBorder="1" applyAlignment="1" applyProtection="1">
      <alignment/>
      <protection hidden="1" locked="0"/>
    </xf>
    <xf numFmtId="0" fontId="54" fillId="0" borderId="0" xfId="0" applyFont="1" applyBorder="1" applyAlignment="1" applyProtection="1">
      <alignment/>
      <protection hidden="1" locked="0"/>
    </xf>
    <xf numFmtId="4" fontId="55" fillId="0" borderId="0" xfId="0" applyNumberFormat="1" applyFont="1" applyBorder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locked="0"/>
    </xf>
    <xf numFmtId="2" fontId="54" fillId="0" borderId="0" xfId="0" applyNumberFormat="1" applyFont="1" applyBorder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 locked="0"/>
    </xf>
    <xf numFmtId="49" fontId="54" fillId="0" borderId="0" xfId="0" applyNumberFormat="1" applyFont="1" applyFill="1" applyBorder="1" applyAlignment="1" applyProtection="1">
      <alignment/>
      <protection hidden="1" locked="0"/>
    </xf>
    <xf numFmtId="0" fontId="5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6" fillId="0" borderId="0" xfId="0" applyFont="1" applyAlignment="1" applyProtection="1">
      <alignment/>
      <protection locked="0"/>
    </xf>
    <xf numFmtId="49" fontId="29" fillId="33" borderId="0" xfId="0" applyNumberFormat="1" applyFont="1" applyFill="1" applyBorder="1" applyAlignment="1" applyProtection="1">
      <alignment/>
      <protection locked="0"/>
    </xf>
    <xf numFmtId="49" fontId="29" fillId="33" borderId="0" xfId="0" applyNumberFormat="1" applyFont="1" applyFill="1" applyBorder="1" applyAlignment="1" applyProtection="1">
      <alignment horizontal="center"/>
      <protection locked="0"/>
    </xf>
    <xf numFmtId="4" fontId="29" fillId="33" borderId="0" xfId="0" applyNumberFormat="1" applyFont="1" applyFill="1" applyBorder="1" applyAlignment="1" applyProtection="1">
      <alignment horizontal="center"/>
      <protection locked="0"/>
    </xf>
    <xf numFmtId="49" fontId="54" fillId="0" borderId="0" xfId="0" applyNumberFormat="1" applyFont="1" applyAlignment="1" applyProtection="1">
      <alignment horizontal="left"/>
      <protection/>
    </xf>
    <xf numFmtId="4" fontId="54" fillId="0" borderId="0" xfId="0" applyNumberFormat="1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2" fontId="29" fillId="0" borderId="1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49" fontId="29" fillId="0" borderId="10" xfId="0" applyNumberFormat="1" applyFont="1" applyBorder="1" applyAlignment="1" applyProtection="1">
      <alignment/>
      <protection/>
    </xf>
    <xf numFmtId="49" fontId="29" fillId="33" borderId="10" xfId="0" applyNumberFormat="1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/>
      <protection/>
    </xf>
    <xf numFmtId="164" fontId="29" fillId="0" borderId="10" xfId="0" applyNumberFormat="1" applyFont="1" applyBorder="1" applyAlignment="1" applyProtection="1">
      <alignment horizontal="center"/>
      <protection/>
    </xf>
    <xf numFmtId="2" fontId="29" fillId="0" borderId="10" xfId="0" applyNumberFormat="1" applyFont="1" applyBorder="1" applyAlignment="1" applyProtection="1">
      <alignment/>
      <protection/>
    </xf>
    <xf numFmtId="49" fontId="29" fillId="0" borderId="10" xfId="0" applyNumberFormat="1" applyFont="1" applyBorder="1" applyAlignment="1" applyProtection="1">
      <alignment/>
      <protection/>
    </xf>
    <xf numFmtId="49" fontId="29" fillId="0" borderId="10" xfId="0" applyNumberFormat="1" applyFont="1" applyBorder="1" applyAlignment="1" applyProtection="1">
      <alignment horizontal="center"/>
      <protection/>
    </xf>
    <xf numFmtId="4" fontId="29" fillId="0" borderId="10" xfId="0" applyNumberFormat="1" applyFont="1" applyBorder="1" applyAlignment="1" applyProtection="1">
      <alignment horizontal="center"/>
      <protection/>
    </xf>
    <xf numFmtId="0" fontId="29" fillId="0" borderId="10" xfId="0" applyNumberFormat="1" applyFont="1" applyBorder="1" applyAlignment="1" applyProtection="1">
      <alignment horizontal="center"/>
      <protection/>
    </xf>
    <xf numFmtId="49" fontId="29" fillId="33" borderId="10" xfId="0" applyNumberFormat="1" applyFont="1" applyFill="1" applyBorder="1" applyAlignment="1" applyProtection="1">
      <alignment/>
      <protection/>
    </xf>
    <xf numFmtId="49" fontId="29" fillId="33" borderId="10" xfId="0" applyNumberFormat="1" applyFont="1" applyFill="1" applyBorder="1" applyAlignment="1" applyProtection="1">
      <alignment horizontal="center"/>
      <protection/>
    </xf>
    <xf numFmtId="4" fontId="29" fillId="33" borderId="10" xfId="0" applyNumberFormat="1" applyFont="1" applyFill="1" applyBorder="1" applyAlignment="1" applyProtection="1">
      <alignment horizontal="center"/>
      <protection/>
    </xf>
    <xf numFmtId="2" fontId="29" fillId="0" borderId="10" xfId="0" applyNumberFormat="1" applyFont="1" applyBorder="1" applyAlignment="1" applyProtection="1">
      <alignment horizontal="center"/>
      <protection/>
    </xf>
    <xf numFmtId="49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2" fontId="29" fillId="0" borderId="0" xfId="0" applyNumberFormat="1" applyFont="1" applyBorder="1" applyAlignment="1" applyProtection="1">
      <alignment horizontal="center"/>
      <protection/>
    </xf>
    <xf numFmtId="2" fontId="29" fillId="0" borderId="0" xfId="0" applyNumberFormat="1" applyFont="1" applyBorder="1" applyAlignment="1" applyProtection="1">
      <alignment/>
      <protection/>
    </xf>
    <xf numFmtId="49" fontId="29" fillId="0" borderId="11" xfId="0" applyNumberFormat="1" applyFont="1" applyFill="1" applyBorder="1" applyAlignment="1" applyProtection="1">
      <alignment/>
      <protection/>
    </xf>
    <xf numFmtId="4" fontId="29" fillId="0" borderId="11" xfId="0" applyNumberFormat="1" applyFont="1" applyFill="1" applyBorder="1" applyAlignment="1" applyProtection="1">
      <alignment horizontal="center"/>
      <protection/>
    </xf>
    <xf numFmtId="49" fontId="29" fillId="33" borderId="11" xfId="0" applyNumberFormat="1" applyFont="1" applyFill="1" applyBorder="1" applyAlignment="1" applyProtection="1">
      <alignment/>
      <protection/>
    </xf>
    <xf numFmtId="49" fontId="29" fillId="34" borderId="10" xfId="0" applyNumberFormat="1" applyFont="1" applyFill="1" applyBorder="1" applyAlignment="1" applyProtection="1">
      <alignment/>
      <protection/>
    </xf>
    <xf numFmtId="0" fontId="29" fillId="34" borderId="10" xfId="0" applyNumberFormat="1" applyFont="1" applyFill="1" applyBorder="1" applyAlignment="1" applyProtection="1">
      <alignment horizontal="center"/>
      <protection/>
    </xf>
    <xf numFmtId="49" fontId="29" fillId="34" borderId="10" xfId="0" applyNumberFormat="1" applyFont="1" applyFill="1" applyBorder="1" applyAlignment="1" applyProtection="1">
      <alignment horizontal="center"/>
      <protection/>
    </xf>
    <xf numFmtId="4" fontId="29" fillId="34" borderId="10" xfId="0" applyNumberFormat="1" applyFont="1" applyFill="1" applyBorder="1" applyAlignment="1" applyProtection="1">
      <alignment horizontal="center"/>
      <protection/>
    </xf>
    <xf numFmtId="4" fontId="29" fillId="0" borderId="10" xfId="0" applyNumberFormat="1" applyFont="1" applyFill="1" applyBorder="1" applyAlignment="1" applyProtection="1">
      <alignment horizontal="center"/>
      <protection/>
    </xf>
    <xf numFmtId="2" fontId="29" fillId="0" borderId="0" xfId="0" applyNumberFormat="1" applyFont="1" applyAlignment="1" applyProtection="1">
      <alignment/>
      <protection/>
    </xf>
    <xf numFmtId="49" fontId="29" fillId="0" borderId="12" xfId="0" applyNumberFormat="1" applyFont="1" applyBorder="1" applyAlignment="1" applyProtection="1">
      <alignment horizontal="center"/>
      <protection/>
    </xf>
    <xf numFmtId="49" fontId="29" fillId="0" borderId="11" xfId="0" applyNumberFormat="1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4" fontId="29" fillId="33" borderId="11" xfId="0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left"/>
      <protection hidden="1" locked="0"/>
    </xf>
    <xf numFmtId="0" fontId="55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54" fillId="0" borderId="0" xfId="0" applyFont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59" fillId="0" borderId="0" xfId="0" applyFont="1" applyBorder="1" applyAlignment="1" applyProtection="1">
      <alignment/>
      <protection hidden="1" locked="0"/>
    </xf>
    <xf numFmtId="0" fontId="6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29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49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9" fillId="0" borderId="14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61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locked="0"/>
    </xf>
    <xf numFmtId="0" fontId="54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 horizontal="right"/>
      <protection locked="0"/>
    </xf>
    <xf numFmtId="0" fontId="62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hidden="1" locked="0"/>
    </xf>
    <xf numFmtId="0" fontId="54" fillId="0" borderId="0" xfId="0" applyFont="1" applyBorder="1" applyAlignment="1" applyProtection="1">
      <alignment/>
      <protection hidden="1" locked="0"/>
    </xf>
    <xf numFmtId="0" fontId="54" fillId="0" borderId="0" xfId="0" applyFont="1" applyBorder="1" applyAlignment="1" applyProtection="1">
      <alignment horizontal="center" wrapText="1"/>
      <protection hidden="1"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56" fillId="0" borderId="0" xfId="0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/>
      <protection hidden="1" locked="0"/>
    </xf>
    <xf numFmtId="0" fontId="54" fillId="0" borderId="0" xfId="0" applyFont="1" applyAlignment="1" applyProtection="1">
      <alignment horizontal="center" wrapText="1"/>
      <protection hidden="1" locked="0"/>
    </xf>
    <xf numFmtId="0" fontId="54" fillId="35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2" fontId="54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5" fillId="0" borderId="0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59" fillId="0" borderId="0" xfId="0" applyFont="1" applyBorder="1" applyAlignment="1" applyProtection="1">
      <alignment/>
      <protection hidden="1" locked="0"/>
    </xf>
    <xf numFmtId="0" fontId="60" fillId="0" borderId="0" xfId="0" applyFont="1" applyBorder="1" applyAlignment="1" applyProtection="1">
      <alignment/>
      <protection hidden="1"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1" fillId="0" borderId="0" xfId="0" applyFont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54" fillId="0" borderId="0" xfId="0" applyFont="1" applyBorder="1" applyAlignment="1" applyProtection="1">
      <alignment wrapText="1"/>
      <protection hidden="1" locked="0"/>
    </xf>
    <xf numFmtId="0" fontId="54" fillId="0" borderId="0" xfId="0" applyFont="1" applyBorder="1" applyAlignment="1" applyProtection="1">
      <alignment horizontal="left" vertical="distributed" wrapText="1"/>
      <protection hidden="1" locked="0"/>
    </xf>
    <xf numFmtId="0" fontId="2" fillId="0" borderId="0" xfId="0" applyFont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4" tint="0.5999900102615356"/>
    <pageSetUpPr fitToPage="1"/>
  </sheetPr>
  <dimension ref="A1:AO214"/>
  <sheetViews>
    <sheetView zoomScale="80" zoomScaleNormal="80" zoomScaleSheetLayoutView="100" workbookViewId="0" topLeftCell="X1">
      <selection activeCell="Z26" sqref="Z26"/>
    </sheetView>
  </sheetViews>
  <sheetFormatPr defaultColWidth="11.00390625" defaultRowHeight="15" outlineLevelRow="1"/>
  <cols>
    <col min="1" max="5" width="11.00390625" style="33" hidden="1" customWidth="1"/>
    <col min="6" max="6" width="42.00390625" style="33" hidden="1" customWidth="1"/>
    <col min="7" max="8" width="11.00390625" style="33" hidden="1" customWidth="1"/>
    <col min="9" max="9" width="19.57421875" style="33" hidden="1" customWidth="1"/>
    <col min="10" max="11" width="11.00390625" style="33" hidden="1" customWidth="1"/>
    <col min="12" max="12" width="51.7109375" style="33" hidden="1" customWidth="1"/>
    <col min="13" max="13" width="7.57421875" style="33" hidden="1" customWidth="1"/>
    <col min="14" max="14" width="11.00390625" style="33" hidden="1" customWidth="1"/>
    <col min="15" max="15" width="20.7109375" style="33" hidden="1" customWidth="1"/>
    <col min="16" max="16" width="11.00390625" style="33" hidden="1" customWidth="1"/>
    <col min="17" max="17" width="15.8515625" style="33" hidden="1" customWidth="1"/>
    <col min="18" max="18" width="40.57421875" style="33" hidden="1" customWidth="1"/>
    <col min="19" max="23" width="11.00390625" style="33" hidden="1" customWidth="1"/>
    <col min="24" max="24" width="4.421875" style="33" customWidth="1"/>
    <col min="25" max="25" width="14.7109375" style="33" customWidth="1"/>
    <col min="26" max="26" width="33.421875" style="33" customWidth="1"/>
    <col min="27" max="27" width="19.8515625" style="33" customWidth="1"/>
    <col min="28" max="28" width="11.00390625" style="33" customWidth="1"/>
    <col min="29" max="29" width="6.140625" style="33" customWidth="1"/>
    <col min="30" max="30" width="4.57421875" style="33" customWidth="1"/>
    <col min="31" max="31" width="19.28125" style="33" customWidth="1"/>
    <col min="32" max="16384" width="11.00390625" style="33" customWidth="1"/>
  </cols>
  <sheetData>
    <row r="1" spans="1:41" ht="18.75">
      <c r="A1" s="149"/>
      <c r="B1" s="149"/>
      <c r="C1" s="149"/>
      <c r="D1" s="149"/>
      <c r="E1" s="149"/>
      <c r="F1" s="150"/>
      <c r="G1" s="150"/>
      <c r="H1" s="150"/>
      <c r="I1" s="150"/>
      <c r="J1" s="30"/>
      <c r="K1" s="30"/>
      <c r="L1" s="150"/>
      <c r="M1" s="149"/>
      <c r="N1" s="149"/>
      <c r="O1" s="149"/>
      <c r="P1" s="30"/>
      <c r="Q1" s="30"/>
      <c r="R1" s="150"/>
      <c r="S1" s="149"/>
      <c r="T1" s="149"/>
      <c r="U1" s="30"/>
      <c r="V1" s="31"/>
      <c r="W1" s="31"/>
      <c r="X1" s="151" t="s">
        <v>53</v>
      </c>
      <c r="Y1" s="152"/>
      <c r="Z1" s="152"/>
      <c r="AA1" s="152"/>
      <c r="AB1" s="152"/>
      <c r="AC1" s="152"/>
      <c r="AD1" s="152"/>
      <c r="AE1" s="152"/>
      <c r="AF1" s="152"/>
      <c r="AG1" s="152"/>
      <c r="AH1" s="32"/>
      <c r="AI1" s="32"/>
      <c r="AJ1" s="32"/>
      <c r="AK1" s="32"/>
      <c r="AL1" s="32"/>
      <c r="AM1" s="32"/>
      <c r="AN1" s="32"/>
      <c r="AO1" s="32"/>
    </row>
    <row r="2" spans="1:33" ht="16.5" customHeight="1">
      <c r="A2" s="59"/>
      <c r="B2" s="60"/>
      <c r="C2" s="60"/>
      <c r="D2" s="59"/>
      <c r="E2" s="59"/>
      <c r="F2" s="61"/>
      <c r="G2" s="61"/>
      <c r="H2" s="61"/>
      <c r="I2" s="61"/>
      <c r="J2" s="62"/>
      <c r="K2" s="62"/>
      <c r="L2" s="61"/>
      <c r="M2" s="59"/>
      <c r="N2" s="59"/>
      <c r="O2" s="59"/>
      <c r="P2" s="62"/>
      <c r="Q2" s="62"/>
      <c r="R2" s="61"/>
      <c r="S2" s="59"/>
      <c r="T2" s="59"/>
      <c r="U2" s="62"/>
      <c r="V2" s="63"/>
      <c r="W2" s="63"/>
      <c r="X2" s="151" t="s">
        <v>267</v>
      </c>
      <c r="Y2" s="140"/>
      <c r="Z2" s="140"/>
      <c r="AA2" s="140"/>
      <c r="AB2" s="140"/>
      <c r="AC2" s="140"/>
      <c r="AD2" s="140"/>
      <c r="AE2" s="140"/>
      <c r="AF2" s="140"/>
      <c r="AG2" s="140"/>
    </row>
    <row r="3" spans="1:34" ht="15" customHeight="1">
      <c r="A3" s="64"/>
      <c r="B3" s="65"/>
      <c r="C3" s="66"/>
      <c r="D3" s="59"/>
      <c r="E3" s="59"/>
      <c r="F3" s="62"/>
      <c r="G3" s="67"/>
      <c r="H3" s="67"/>
      <c r="I3" s="68"/>
      <c r="J3" s="62"/>
      <c r="K3" s="62"/>
      <c r="L3" s="62"/>
      <c r="M3" s="69"/>
      <c r="N3" s="67"/>
      <c r="O3" s="68"/>
      <c r="P3" s="62"/>
      <c r="Q3" s="62"/>
      <c r="R3" s="62"/>
      <c r="S3" s="67"/>
      <c r="T3" s="68"/>
      <c r="U3" s="62"/>
      <c r="V3" s="63"/>
      <c r="W3" s="63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</row>
    <row r="4" spans="1:34" ht="15" customHeight="1">
      <c r="A4" s="64"/>
      <c r="B4" s="65"/>
      <c r="C4" s="66"/>
      <c r="D4" s="59"/>
      <c r="E4" s="59"/>
      <c r="F4" s="62"/>
      <c r="G4" s="67"/>
      <c r="H4" s="67"/>
      <c r="I4" s="68"/>
      <c r="J4" s="62"/>
      <c r="K4" s="62"/>
      <c r="L4" s="62"/>
      <c r="M4" s="69"/>
      <c r="N4" s="67"/>
      <c r="O4" s="68"/>
      <c r="P4" s="62"/>
      <c r="Q4" s="62"/>
      <c r="R4" s="62"/>
      <c r="S4" s="67"/>
      <c r="T4" s="68"/>
      <c r="U4" s="62"/>
      <c r="V4" s="63"/>
      <c r="W4" s="63"/>
      <c r="X4" s="12" t="s">
        <v>50</v>
      </c>
      <c r="Y4" s="13"/>
      <c r="Z4" s="13"/>
      <c r="AB4" s="7" t="s">
        <v>99</v>
      </c>
      <c r="AC4" s="8"/>
      <c r="AD4" s="8"/>
      <c r="AE4" s="54" t="s">
        <v>100</v>
      </c>
      <c r="AF4" s="55">
        <v>1</v>
      </c>
      <c r="AG4" s="8"/>
      <c r="AH4" s="11"/>
    </row>
    <row r="5" spans="1:38" ht="17.25" customHeight="1">
      <c r="A5" s="64"/>
      <c r="B5" s="65"/>
      <c r="C5" s="66"/>
      <c r="D5" s="59"/>
      <c r="E5" s="59"/>
      <c r="F5" s="62"/>
      <c r="G5" s="67"/>
      <c r="H5" s="67"/>
      <c r="I5" s="68"/>
      <c r="J5" s="62"/>
      <c r="K5" s="62"/>
      <c r="L5" s="62"/>
      <c r="M5" s="69"/>
      <c r="N5" s="67"/>
      <c r="O5" s="68"/>
      <c r="P5" s="62"/>
      <c r="Q5" s="62"/>
      <c r="R5" s="62"/>
      <c r="S5" s="67"/>
      <c r="T5" s="68"/>
      <c r="U5" s="62"/>
      <c r="V5" s="63"/>
      <c r="W5" s="63"/>
      <c r="X5" s="23" t="s">
        <v>51</v>
      </c>
      <c r="Y5" s="13"/>
      <c r="Z5" s="24"/>
      <c r="AA5" s="7"/>
      <c r="AB5" s="8"/>
      <c r="AC5" s="8"/>
      <c r="AD5" s="8"/>
      <c r="AE5" s="54" t="s">
        <v>98</v>
      </c>
      <c r="AF5" s="55">
        <v>1</v>
      </c>
      <c r="AG5" s="8"/>
      <c r="AH5" s="11"/>
      <c r="AL5" s="13"/>
    </row>
    <row r="6" spans="1:34" ht="15" customHeight="1">
      <c r="A6" s="64"/>
      <c r="B6" s="65"/>
      <c r="C6" s="66"/>
      <c r="D6" s="59"/>
      <c r="E6" s="59"/>
      <c r="F6" s="62"/>
      <c r="G6" s="67"/>
      <c r="H6" s="67"/>
      <c r="I6" s="68"/>
      <c r="J6" s="62"/>
      <c r="K6" s="62"/>
      <c r="L6" s="62"/>
      <c r="M6" s="69"/>
      <c r="N6" s="67"/>
      <c r="O6" s="68"/>
      <c r="P6" s="62"/>
      <c r="Q6" s="62"/>
      <c r="R6" s="62"/>
      <c r="S6" s="67"/>
      <c r="T6" s="68"/>
      <c r="U6" s="62"/>
      <c r="V6" s="63"/>
      <c r="W6" s="63"/>
      <c r="X6" s="12" t="s">
        <v>52</v>
      </c>
      <c r="Y6" s="13"/>
      <c r="Z6" s="13"/>
      <c r="AA6" s="7"/>
      <c r="AB6" s="8"/>
      <c r="AC6" s="8"/>
      <c r="AD6" s="8"/>
      <c r="AE6" s="54" t="s">
        <v>101</v>
      </c>
      <c r="AF6" s="55">
        <v>1</v>
      </c>
      <c r="AG6" s="8"/>
      <c r="AH6" s="11"/>
    </row>
    <row r="7" spans="1:34" ht="15">
      <c r="A7" s="64"/>
      <c r="B7" s="70"/>
      <c r="C7" s="66"/>
      <c r="D7" s="67"/>
      <c r="E7" s="71"/>
      <c r="F7" s="62"/>
      <c r="G7" s="67"/>
      <c r="H7" s="67"/>
      <c r="I7" s="68"/>
      <c r="J7" s="62"/>
      <c r="K7" s="62"/>
      <c r="L7" s="62"/>
      <c r="M7" s="69"/>
      <c r="N7" s="67"/>
      <c r="O7" s="68"/>
      <c r="P7" s="62"/>
      <c r="Q7" s="62"/>
      <c r="R7" s="62"/>
      <c r="S7" s="67"/>
      <c r="T7" s="68"/>
      <c r="U7" s="62"/>
      <c r="V7" s="63"/>
      <c r="W7" s="63"/>
      <c r="X7" s="28"/>
      <c r="Y7" s="28"/>
      <c r="Z7" s="28"/>
      <c r="AA7" s="28"/>
      <c r="AB7" s="28"/>
      <c r="AC7" s="28"/>
      <c r="AD7" s="28"/>
      <c r="AE7" s="14"/>
      <c r="AF7" s="14"/>
      <c r="AG7" s="10"/>
      <c r="AH7" s="11"/>
    </row>
    <row r="8" spans="1:33" ht="15">
      <c r="A8" s="64"/>
      <c r="B8" s="70"/>
      <c r="C8" s="66"/>
      <c r="D8" s="67"/>
      <c r="E8" s="71"/>
      <c r="F8" s="62"/>
      <c r="G8" s="67"/>
      <c r="H8" s="67"/>
      <c r="I8" s="68"/>
      <c r="J8" s="62"/>
      <c r="K8" s="62"/>
      <c r="L8" s="62"/>
      <c r="M8" s="69"/>
      <c r="N8" s="67"/>
      <c r="O8" s="68"/>
      <c r="P8" s="62"/>
      <c r="Q8" s="62"/>
      <c r="R8" s="62"/>
      <c r="S8" s="67"/>
      <c r="T8" s="68"/>
      <c r="U8" s="62"/>
      <c r="V8" s="63"/>
      <c r="W8" s="63"/>
      <c r="X8" s="147" t="s">
        <v>63</v>
      </c>
      <c r="Y8" s="147"/>
      <c r="Z8" s="147"/>
      <c r="AA8" s="5">
        <v>0</v>
      </c>
      <c r="AB8" s="36" t="s">
        <v>18</v>
      </c>
      <c r="AC8" s="36"/>
      <c r="AD8" s="36"/>
      <c r="AE8" s="37"/>
      <c r="AF8" s="37"/>
      <c r="AG8" s="38"/>
    </row>
    <row r="9" spans="1:33" ht="15">
      <c r="A9" s="64"/>
      <c r="B9" s="70"/>
      <c r="C9" s="66"/>
      <c r="D9" s="67"/>
      <c r="E9" s="71"/>
      <c r="F9" s="62"/>
      <c r="G9" s="67"/>
      <c r="H9" s="67"/>
      <c r="I9" s="68"/>
      <c r="J9" s="62"/>
      <c r="K9" s="62"/>
      <c r="L9" s="62"/>
      <c r="M9" s="69"/>
      <c r="N9" s="67"/>
      <c r="O9" s="68"/>
      <c r="P9" s="62"/>
      <c r="Q9" s="62"/>
      <c r="R9" s="62"/>
      <c r="S9" s="67"/>
      <c r="T9" s="68"/>
      <c r="U9" s="62"/>
      <c r="V9" s="63"/>
      <c r="W9" s="63"/>
      <c r="X9" s="146" t="s">
        <v>64</v>
      </c>
      <c r="Y9" s="153"/>
      <c r="Z9" s="153"/>
      <c r="AA9" s="5">
        <v>0</v>
      </c>
      <c r="AB9" s="36" t="s">
        <v>18</v>
      </c>
      <c r="AC9" s="36"/>
      <c r="AD9" s="36"/>
      <c r="AE9" s="37"/>
      <c r="AF9" s="37"/>
      <c r="AG9" s="38"/>
    </row>
    <row r="10" spans="1:33" ht="15" outlineLevel="1">
      <c r="A10" s="64"/>
      <c r="B10" s="70"/>
      <c r="C10" s="66"/>
      <c r="D10" s="67"/>
      <c r="E10" s="71"/>
      <c r="F10" s="62"/>
      <c r="G10" s="67"/>
      <c r="H10" s="67"/>
      <c r="I10" s="68"/>
      <c r="J10" s="62"/>
      <c r="K10" s="62"/>
      <c r="L10" s="62"/>
      <c r="M10" s="69"/>
      <c r="N10" s="67"/>
      <c r="O10" s="68"/>
      <c r="P10" s="62"/>
      <c r="Q10" s="62"/>
      <c r="R10" s="62"/>
      <c r="S10" s="67"/>
      <c r="T10" s="68"/>
      <c r="U10" s="62"/>
      <c r="V10" s="63"/>
      <c r="W10" s="63"/>
      <c r="X10" s="147" t="s">
        <v>64</v>
      </c>
      <c r="Y10" s="147"/>
      <c r="Z10" s="147"/>
      <c r="AA10" s="5">
        <v>0</v>
      </c>
      <c r="AB10" s="36" t="s">
        <v>18</v>
      </c>
      <c r="AC10" s="36"/>
      <c r="AD10" s="36"/>
      <c r="AE10" s="37"/>
      <c r="AF10" s="37"/>
      <c r="AG10" s="38"/>
    </row>
    <row r="11" spans="1:33" ht="15">
      <c r="A11" s="64"/>
      <c r="B11" s="70"/>
      <c r="C11" s="66"/>
      <c r="D11" s="67"/>
      <c r="E11" s="71"/>
      <c r="F11" s="62"/>
      <c r="G11" s="67"/>
      <c r="H11" s="67"/>
      <c r="I11" s="68"/>
      <c r="J11" s="62"/>
      <c r="K11" s="62"/>
      <c r="L11" s="62"/>
      <c r="M11" s="69"/>
      <c r="N11" s="67"/>
      <c r="O11" s="68"/>
      <c r="P11" s="62"/>
      <c r="Q11" s="62"/>
      <c r="R11" s="62"/>
      <c r="S11" s="67"/>
      <c r="T11" s="68"/>
      <c r="U11" s="62"/>
      <c r="V11" s="63"/>
      <c r="W11" s="63"/>
      <c r="X11" s="147" t="s">
        <v>65</v>
      </c>
      <c r="Y11" s="145"/>
      <c r="Z11" s="145"/>
      <c r="AA11" s="5">
        <v>0</v>
      </c>
      <c r="AB11" s="36" t="s">
        <v>18</v>
      </c>
      <c r="AC11" s="36"/>
      <c r="AD11" s="36"/>
      <c r="AE11" s="37"/>
      <c r="AF11" s="37"/>
      <c r="AG11" s="38"/>
    </row>
    <row r="12" spans="1:33" ht="15">
      <c r="A12" s="64"/>
      <c r="B12" s="70"/>
      <c r="C12" s="66"/>
      <c r="D12" s="67"/>
      <c r="E12" s="71"/>
      <c r="F12" s="62"/>
      <c r="G12" s="67"/>
      <c r="H12" s="67"/>
      <c r="I12" s="68"/>
      <c r="J12" s="62"/>
      <c r="K12" s="62"/>
      <c r="L12" s="62"/>
      <c r="M12" s="69"/>
      <c r="N12" s="67"/>
      <c r="O12" s="68"/>
      <c r="P12" s="62"/>
      <c r="Q12" s="62"/>
      <c r="R12" s="62"/>
      <c r="S12" s="67"/>
      <c r="T12" s="68"/>
      <c r="U12" s="62"/>
      <c r="V12" s="63"/>
      <c r="W12" s="63"/>
      <c r="X12" s="146" t="s">
        <v>66</v>
      </c>
      <c r="Y12" s="146"/>
      <c r="Z12" s="146"/>
      <c r="AA12" s="5">
        <v>0</v>
      </c>
      <c r="AB12" s="36" t="s">
        <v>18</v>
      </c>
      <c r="AC12" s="36"/>
      <c r="AD12" s="36"/>
      <c r="AE12" s="37"/>
      <c r="AF12" s="37"/>
      <c r="AG12" s="38"/>
    </row>
    <row r="13" spans="1:33" ht="15">
      <c r="A13" s="64"/>
      <c r="B13" s="70"/>
      <c r="C13" s="66"/>
      <c r="D13" s="67"/>
      <c r="E13" s="71"/>
      <c r="F13" s="62"/>
      <c r="G13" s="67"/>
      <c r="H13" s="67"/>
      <c r="I13" s="68"/>
      <c r="J13" s="62"/>
      <c r="K13" s="62"/>
      <c r="L13" s="62"/>
      <c r="M13" s="69"/>
      <c r="N13" s="67"/>
      <c r="O13" s="68"/>
      <c r="P13" s="62"/>
      <c r="Q13" s="62"/>
      <c r="R13" s="62"/>
      <c r="S13" s="67"/>
      <c r="T13" s="68"/>
      <c r="U13" s="62"/>
      <c r="V13" s="63"/>
      <c r="W13" s="63"/>
      <c r="X13" s="146" t="s">
        <v>66</v>
      </c>
      <c r="Y13" s="146"/>
      <c r="Z13" s="146"/>
      <c r="AA13" s="5">
        <v>0</v>
      </c>
      <c r="AB13" s="36" t="s">
        <v>18</v>
      </c>
      <c r="AC13" s="36"/>
      <c r="AD13" s="36"/>
      <c r="AE13" s="37"/>
      <c r="AF13" s="37"/>
      <c r="AG13" s="38"/>
    </row>
    <row r="14" spans="1:33" ht="15">
      <c r="A14" s="64"/>
      <c r="B14" s="70"/>
      <c r="C14" s="66"/>
      <c r="D14" s="67"/>
      <c r="E14" s="71"/>
      <c r="F14" s="62"/>
      <c r="G14" s="67"/>
      <c r="H14" s="67"/>
      <c r="I14" s="68"/>
      <c r="J14" s="62"/>
      <c r="K14" s="62"/>
      <c r="L14" s="62"/>
      <c r="M14" s="69"/>
      <c r="N14" s="67"/>
      <c r="O14" s="68"/>
      <c r="P14" s="62"/>
      <c r="Q14" s="62"/>
      <c r="R14" s="62"/>
      <c r="S14" s="67"/>
      <c r="T14" s="68"/>
      <c r="U14" s="62"/>
      <c r="V14" s="63"/>
      <c r="W14" s="63"/>
      <c r="X14" s="147" t="s">
        <v>19</v>
      </c>
      <c r="Y14" s="147"/>
      <c r="Z14" s="147"/>
      <c r="AA14" s="5">
        <v>0</v>
      </c>
      <c r="AB14" s="36" t="s">
        <v>20</v>
      </c>
      <c r="AC14" s="36"/>
      <c r="AD14" s="36"/>
      <c r="AE14" s="37"/>
      <c r="AF14" s="37"/>
      <c r="AG14" s="38"/>
    </row>
    <row r="15" spans="1:33" ht="15">
      <c r="A15" s="64"/>
      <c r="B15" s="70"/>
      <c r="C15" s="66"/>
      <c r="D15" s="67"/>
      <c r="E15" s="71"/>
      <c r="F15" s="62"/>
      <c r="G15" s="67"/>
      <c r="H15" s="67"/>
      <c r="I15" s="68"/>
      <c r="J15" s="62"/>
      <c r="K15" s="62"/>
      <c r="L15" s="62"/>
      <c r="M15" s="67"/>
      <c r="N15" s="67"/>
      <c r="O15" s="68"/>
      <c r="P15" s="62"/>
      <c r="Q15" s="62"/>
      <c r="R15" s="62"/>
      <c r="S15" s="67"/>
      <c r="T15" s="68"/>
      <c r="U15" s="62"/>
      <c r="V15" s="63"/>
      <c r="W15" s="63"/>
      <c r="X15" s="146" t="s">
        <v>62</v>
      </c>
      <c r="Y15" s="146"/>
      <c r="Z15" s="146"/>
      <c r="AA15" s="5">
        <v>0</v>
      </c>
      <c r="AB15" s="39" t="s">
        <v>20</v>
      </c>
      <c r="AC15" s="36"/>
      <c r="AD15" s="36"/>
      <c r="AE15" s="37"/>
      <c r="AF15" s="37"/>
      <c r="AG15" s="38"/>
    </row>
    <row r="16" spans="1:33" ht="31.5" customHeight="1">
      <c r="A16" s="64"/>
      <c r="B16" s="70"/>
      <c r="C16" s="66"/>
      <c r="D16" s="67"/>
      <c r="E16" s="71"/>
      <c r="F16" s="62"/>
      <c r="G16" s="67"/>
      <c r="H16" s="67"/>
      <c r="I16" s="68"/>
      <c r="J16" s="62"/>
      <c r="K16" s="62"/>
      <c r="L16" s="62"/>
      <c r="M16" s="67"/>
      <c r="N16" s="67"/>
      <c r="O16" s="68"/>
      <c r="P16" s="62"/>
      <c r="Q16" s="62"/>
      <c r="R16" s="62"/>
      <c r="S16" s="67"/>
      <c r="T16" s="68"/>
      <c r="U16" s="62"/>
      <c r="V16" s="63"/>
      <c r="W16" s="63"/>
      <c r="X16" s="148" t="s">
        <v>102</v>
      </c>
      <c r="Y16" s="148"/>
      <c r="Z16" s="148"/>
      <c r="AA16" s="4"/>
      <c r="AB16" s="36"/>
      <c r="AC16" s="36"/>
      <c r="AD16" s="148" t="s">
        <v>266</v>
      </c>
      <c r="AE16" s="154"/>
      <c r="AF16" s="154"/>
      <c r="AG16" s="154"/>
    </row>
    <row r="17" spans="1:33" ht="15">
      <c r="A17" s="64"/>
      <c r="B17" s="70"/>
      <c r="C17" s="66"/>
      <c r="D17" s="67"/>
      <c r="E17" s="71"/>
      <c r="F17" s="62"/>
      <c r="G17" s="67"/>
      <c r="H17" s="67"/>
      <c r="I17" s="68"/>
      <c r="J17" s="62"/>
      <c r="K17" s="62"/>
      <c r="L17" s="62"/>
      <c r="M17" s="67"/>
      <c r="N17" s="67"/>
      <c r="O17" s="68"/>
      <c r="P17" s="62"/>
      <c r="Q17" s="62"/>
      <c r="R17" s="62"/>
      <c r="S17" s="67"/>
      <c r="T17" s="68"/>
      <c r="U17" s="62"/>
      <c r="V17" s="63"/>
      <c r="W17" s="63"/>
      <c r="X17" s="36"/>
      <c r="Y17" s="36"/>
      <c r="Z17" s="36" t="s">
        <v>24</v>
      </c>
      <c r="AA17" s="36"/>
      <c r="AB17" s="36"/>
      <c r="AC17" s="36"/>
      <c r="AD17" s="36"/>
      <c r="AE17" s="40"/>
      <c r="AF17" s="37"/>
      <c r="AG17" s="38"/>
    </row>
    <row r="18" spans="1:36" ht="15">
      <c r="A18" s="64"/>
      <c r="B18" s="70"/>
      <c r="C18" s="66"/>
      <c r="D18" s="67"/>
      <c r="E18" s="71"/>
      <c r="F18" s="62"/>
      <c r="G18" s="62"/>
      <c r="H18" s="62"/>
      <c r="I18" s="62"/>
      <c r="J18" s="62"/>
      <c r="K18" s="62"/>
      <c r="L18" s="62"/>
      <c r="M18" s="67"/>
      <c r="N18" s="67"/>
      <c r="O18" s="68"/>
      <c r="P18" s="62"/>
      <c r="Q18" s="62"/>
      <c r="R18" s="62"/>
      <c r="S18" s="67"/>
      <c r="T18" s="68"/>
      <c r="U18" s="62"/>
      <c r="V18" s="63"/>
      <c r="W18" s="63"/>
      <c r="X18" s="41" t="s">
        <v>288</v>
      </c>
      <c r="Y18" s="56" t="s">
        <v>55</v>
      </c>
      <c r="Z18" s="21" t="s">
        <v>24</v>
      </c>
      <c r="AA18" s="1">
        <f>IF(Z18=A68,0,VLOOKUP(Z18,A67:C71,3,0))</f>
        <v>0</v>
      </c>
      <c r="AB18" s="36" t="s">
        <v>44</v>
      </c>
      <c r="AC18" s="36"/>
      <c r="AD18" s="36"/>
      <c r="AE18" s="1">
        <f>AA18</f>
        <v>0</v>
      </c>
      <c r="AF18" s="37" t="s">
        <v>46</v>
      </c>
      <c r="AG18" s="38"/>
      <c r="AJ18" s="42"/>
    </row>
    <row r="19" spans="1:36" ht="15">
      <c r="A19" s="71"/>
      <c r="B19" s="71"/>
      <c r="C19" s="71"/>
      <c r="D19" s="71"/>
      <c r="E19" s="71"/>
      <c r="F19" s="62"/>
      <c r="G19" s="62"/>
      <c r="H19" s="62"/>
      <c r="I19" s="62"/>
      <c r="J19" s="62"/>
      <c r="K19" s="62"/>
      <c r="L19" s="62"/>
      <c r="M19" s="67"/>
      <c r="N19" s="67"/>
      <c r="O19" s="68"/>
      <c r="P19" s="62"/>
      <c r="Q19" s="62"/>
      <c r="R19" s="62"/>
      <c r="S19" s="67"/>
      <c r="T19" s="68"/>
      <c r="U19" s="62"/>
      <c r="V19" s="63"/>
      <c r="W19" s="63"/>
      <c r="X19" s="36"/>
      <c r="Y19" s="56" t="s">
        <v>56</v>
      </c>
      <c r="Z19" s="21" t="s">
        <v>24</v>
      </c>
      <c r="AA19" s="1">
        <f>IF(Z19=A62,0,VLOOKUP(Z19,A62:C66,3,0))</f>
        <v>0</v>
      </c>
      <c r="AB19" s="36" t="s">
        <v>17</v>
      </c>
      <c r="AC19" s="36"/>
      <c r="AD19" s="36"/>
      <c r="AE19" s="1">
        <f>AA19</f>
        <v>0</v>
      </c>
      <c r="AF19" s="37" t="s">
        <v>46</v>
      </c>
      <c r="AG19" s="38"/>
      <c r="AJ19" s="43"/>
    </row>
    <row r="20" spans="1:36" ht="15">
      <c r="A20" s="71"/>
      <c r="B20" s="71"/>
      <c r="C20" s="71"/>
      <c r="D20" s="71"/>
      <c r="E20" s="71"/>
      <c r="F20" s="62"/>
      <c r="G20" s="62"/>
      <c r="H20" s="62"/>
      <c r="I20" s="62"/>
      <c r="J20" s="62"/>
      <c r="K20" s="62"/>
      <c r="L20" s="62"/>
      <c r="M20" s="67"/>
      <c r="N20" s="67"/>
      <c r="O20" s="68"/>
      <c r="P20" s="62"/>
      <c r="Q20" s="62"/>
      <c r="R20" s="62"/>
      <c r="S20" s="67"/>
      <c r="T20" s="68"/>
      <c r="U20" s="62"/>
      <c r="V20" s="63"/>
      <c r="W20" s="63"/>
      <c r="X20" s="41" t="s">
        <v>289</v>
      </c>
      <c r="Y20" s="56" t="s">
        <v>57</v>
      </c>
      <c r="Z20" s="21" t="s">
        <v>24</v>
      </c>
      <c r="AA20" s="1">
        <f>VLOOKUP(Z20,F86:I101,4,0)</f>
        <v>0</v>
      </c>
      <c r="AB20" s="36" t="s">
        <v>45</v>
      </c>
      <c r="AC20" s="36"/>
      <c r="AD20" s="36"/>
      <c r="AE20" s="1">
        <f>AA20*AA8*AF5</f>
        <v>0</v>
      </c>
      <c r="AF20" s="37" t="s">
        <v>46</v>
      </c>
      <c r="AG20" s="38"/>
      <c r="AJ20" s="43"/>
    </row>
    <row r="21" spans="1:36" ht="34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62"/>
      <c r="M21" s="67"/>
      <c r="N21" s="67"/>
      <c r="O21" s="68"/>
      <c r="P21" s="71"/>
      <c r="Q21" s="71"/>
      <c r="R21" s="62"/>
      <c r="S21" s="67"/>
      <c r="T21" s="68"/>
      <c r="U21" s="71"/>
      <c r="V21" s="72"/>
      <c r="W21" s="72"/>
      <c r="X21" s="36"/>
      <c r="Y21" s="57" t="s">
        <v>58</v>
      </c>
      <c r="Z21" s="21" t="s">
        <v>24</v>
      </c>
      <c r="AA21" s="1">
        <f>VLOOKUP(Z21,F62:I85,4,0)</f>
        <v>0</v>
      </c>
      <c r="AB21" s="36" t="s">
        <v>45</v>
      </c>
      <c r="AC21" s="36"/>
      <c r="AD21" s="36"/>
      <c r="AE21" s="19">
        <f>AA21*AA11*AF5</f>
        <v>0</v>
      </c>
      <c r="AF21" s="36" t="s">
        <v>46</v>
      </c>
      <c r="AG21" s="45"/>
      <c r="AJ21" s="43"/>
    </row>
    <row r="22" spans="1:36" ht="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62"/>
      <c r="M22" s="67"/>
      <c r="N22" s="67"/>
      <c r="O22" s="68"/>
      <c r="P22" s="71"/>
      <c r="Q22" s="71"/>
      <c r="R22" s="62"/>
      <c r="S22" s="67"/>
      <c r="T22" s="68"/>
      <c r="U22" s="71"/>
      <c r="V22" s="72"/>
      <c r="W22" s="72"/>
      <c r="X22" s="36" t="s">
        <v>290</v>
      </c>
      <c r="Y22" s="56" t="s">
        <v>59</v>
      </c>
      <c r="Z22" s="21" t="s">
        <v>24</v>
      </c>
      <c r="AA22" s="1">
        <f>VLOOKUP(Z22,L97:O142,4,0)</f>
        <v>0</v>
      </c>
      <c r="AB22" s="36" t="s">
        <v>45</v>
      </c>
      <c r="AC22" s="36"/>
      <c r="AD22" s="36"/>
      <c r="AE22" s="1">
        <f>AA22*AA9*AF6</f>
        <v>0</v>
      </c>
      <c r="AF22" s="36" t="s">
        <v>46</v>
      </c>
      <c r="AG22" s="45"/>
      <c r="AJ22" s="43"/>
    </row>
    <row r="23" spans="1:36" ht="15" outlineLevel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62"/>
      <c r="M23" s="67"/>
      <c r="N23" s="67"/>
      <c r="O23" s="68"/>
      <c r="P23" s="71"/>
      <c r="Q23" s="71"/>
      <c r="R23" s="62"/>
      <c r="S23" s="67"/>
      <c r="T23" s="68"/>
      <c r="U23" s="71"/>
      <c r="V23" s="72"/>
      <c r="W23" s="72"/>
      <c r="X23" s="36"/>
      <c r="Y23" s="56" t="s">
        <v>59</v>
      </c>
      <c r="Z23" s="21" t="s">
        <v>24</v>
      </c>
      <c r="AA23" s="1">
        <f>VLOOKUP(Z23,L97:O142,4,0)</f>
        <v>0</v>
      </c>
      <c r="AB23" s="36" t="s">
        <v>45</v>
      </c>
      <c r="AC23" s="36"/>
      <c r="AD23" s="36"/>
      <c r="AE23" s="1">
        <f>AF6*AA10*AA23</f>
        <v>0</v>
      </c>
      <c r="AF23" s="36" t="s">
        <v>46</v>
      </c>
      <c r="AG23" s="45"/>
      <c r="AJ23" s="43"/>
    </row>
    <row r="24" spans="1:36" ht="1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62"/>
      <c r="M24" s="67"/>
      <c r="N24" s="67"/>
      <c r="O24" s="68"/>
      <c r="P24" s="71"/>
      <c r="Q24" s="71"/>
      <c r="R24" s="62"/>
      <c r="S24" s="71"/>
      <c r="T24" s="71"/>
      <c r="U24" s="71"/>
      <c r="V24" s="72"/>
      <c r="W24" s="72"/>
      <c r="X24" s="36"/>
      <c r="Y24" s="57" t="s">
        <v>60</v>
      </c>
      <c r="Z24" s="21" t="s">
        <v>24</v>
      </c>
      <c r="AA24" s="1">
        <f>VLOOKUP(Z24,L62:O96,4,0)</f>
        <v>0</v>
      </c>
      <c r="AB24" s="36" t="s">
        <v>45</v>
      </c>
      <c r="AC24" s="36"/>
      <c r="AD24" s="36"/>
      <c r="AE24" s="1">
        <f>AA24*AA12*AF6</f>
        <v>0</v>
      </c>
      <c r="AF24" s="46" t="s">
        <v>46</v>
      </c>
      <c r="AG24" s="45"/>
      <c r="AJ24" s="43"/>
    </row>
    <row r="25" spans="1:36" ht="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62"/>
      <c r="M25" s="67"/>
      <c r="N25" s="67"/>
      <c r="O25" s="68"/>
      <c r="P25" s="71"/>
      <c r="Q25" s="71"/>
      <c r="R25" s="62"/>
      <c r="S25" s="71"/>
      <c r="T25" s="71"/>
      <c r="U25" s="71"/>
      <c r="V25" s="72"/>
      <c r="W25" s="72"/>
      <c r="X25" s="36"/>
      <c r="Y25" s="57" t="s">
        <v>60</v>
      </c>
      <c r="Z25" s="21" t="s">
        <v>24</v>
      </c>
      <c r="AA25" s="1">
        <f>VLOOKUP(Z25,L62:O96,4,0)</f>
        <v>0</v>
      </c>
      <c r="AB25" s="36" t="s">
        <v>45</v>
      </c>
      <c r="AC25" s="36"/>
      <c r="AD25" s="36"/>
      <c r="AE25" s="1">
        <f>AA25*AA13*AF6</f>
        <v>0</v>
      </c>
      <c r="AF25" s="46" t="s">
        <v>46</v>
      </c>
      <c r="AG25" s="45"/>
      <c r="AJ25" s="43"/>
    </row>
    <row r="26" spans="1:36" ht="52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62"/>
      <c r="M26" s="67"/>
      <c r="N26" s="67"/>
      <c r="O26" s="68"/>
      <c r="P26" s="71"/>
      <c r="Q26" s="71"/>
      <c r="R26" s="62"/>
      <c r="S26" s="71"/>
      <c r="T26" s="71"/>
      <c r="U26" s="71"/>
      <c r="V26" s="72"/>
      <c r="W26" s="72"/>
      <c r="X26" s="41" t="s">
        <v>291</v>
      </c>
      <c r="Y26" s="57" t="s">
        <v>277</v>
      </c>
      <c r="Z26" s="21" t="s">
        <v>24</v>
      </c>
      <c r="AA26" s="1">
        <f>VLOOKUP(Z26,R104:T109,3,0)</f>
        <v>0</v>
      </c>
      <c r="AB26" s="36" t="s">
        <v>279</v>
      </c>
      <c r="AC26" s="36"/>
      <c r="AD26" s="36"/>
      <c r="AE26" s="1">
        <f>AA26</f>
        <v>0</v>
      </c>
      <c r="AF26" s="46" t="s">
        <v>270</v>
      </c>
      <c r="AG26" s="45"/>
      <c r="AJ26" s="43"/>
    </row>
    <row r="27" spans="1:33" ht="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62"/>
      <c r="M27" s="67"/>
      <c r="N27" s="67"/>
      <c r="O27" s="68"/>
      <c r="P27" s="71"/>
      <c r="Q27" s="71"/>
      <c r="R27" s="71"/>
      <c r="S27" s="71"/>
      <c r="T27" s="71"/>
      <c r="U27" s="71"/>
      <c r="V27" s="72"/>
      <c r="W27" s="72"/>
      <c r="X27" s="41" t="s">
        <v>292</v>
      </c>
      <c r="Y27" s="58" t="s">
        <v>61</v>
      </c>
      <c r="Z27" s="21" t="s">
        <v>24</v>
      </c>
      <c r="AA27" s="1">
        <f>VLOOKUP(Z27,R62:T115,3,0)</f>
        <v>0</v>
      </c>
      <c r="AB27" s="36" t="s">
        <v>17</v>
      </c>
      <c r="AC27" s="36"/>
      <c r="AD27" s="36"/>
      <c r="AE27" s="1">
        <f>AA27*(AA14-AA15)*AF4</f>
        <v>0</v>
      </c>
      <c r="AF27" s="36" t="s">
        <v>46</v>
      </c>
      <c r="AG27" s="45"/>
    </row>
    <row r="28" spans="1:33" ht="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62"/>
      <c r="M28" s="67"/>
      <c r="N28" s="67"/>
      <c r="O28" s="68"/>
      <c r="P28" s="71"/>
      <c r="Q28" s="71"/>
      <c r="R28" s="71"/>
      <c r="S28" s="71"/>
      <c r="T28" s="71"/>
      <c r="U28" s="71"/>
      <c r="V28" s="72"/>
      <c r="W28" s="72"/>
      <c r="X28" s="126" t="s">
        <v>293</v>
      </c>
      <c r="Y28" s="36" t="s">
        <v>280</v>
      </c>
      <c r="Z28" s="22" t="s">
        <v>24</v>
      </c>
      <c r="AA28" s="1">
        <f>VLOOKUP(Z28,R63:T116,3,0)</f>
        <v>0</v>
      </c>
      <c r="AB28" s="36" t="s">
        <v>17</v>
      </c>
      <c r="AC28" s="36"/>
      <c r="AD28" s="36"/>
      <c r="AE28" s="1">
        <f>AA28*(AA15-AA16)*AF5</f>
        <v>0</v>
      </c>
      <c r="AF28" s="36" t="s">
        <v>46</v>
      </c>
      <c r="AG28" s="45"/>
    </row>
    <row r="29" spans="1:33" ht="1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2"/>
      <c r="X29" s="36"/>
      <c r="Y29" s="36"/>
      <c r="Z29" s="47" t="s">
        <v>21</v>
      </c>
      <c r="AA29" s="3">
        <f>SUM(AE18:AE27)</f>
        <v>0</v>
      </c>
      <c r="AB29" s="36" t="s">
        <v>23</v>
      </c>
      <c r="AC29" s="36"/>
      <c r="AD29" s="36"/>
      <c r="AE29" s="36"/>
      <c r="AF29" s="36"/>
      <c r="AG29" s="45"/>
    </row>
    <row r="30" spans="1:33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36"/>
      <c r="Y30" s="36"/>
      <c r="Z30" s="47"/>
      <c r="AA30" s="3">
        <f>AA31-AA29</f>
        <v>0</v>
      </c>
      <c r="AB30" s="36" t="s">
        <v>25</v>
      </c>
      <c r="AC30" s="36"/>
      <c r="AD30" s="36"/>
      <c r="AE30" s="36"/>
      <c r="AF30" s="36"/>
      <c r="AG30" s="45"/>
    </row>
    <row r="31" spans="1:33" ht="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36"/>
      <c r="Y31" s="36"/>
      <c r="Z31" s="47"/>
      <c r="AA31" s="3">
        <f>ROUND(AA29*1.18,2)</f>
        <v>0</v>
      </c>
      <c r="AB31" s="36" t="s">
        <v>22</v>
      </c>
      <c r="AC31" s="36"/>
      <c r="AD31" s="36"/>
      <c r="AE31" s="36"/>
      <c r="AF31" s="36"/>
      <c r="AG31" s="45"/>
    </row>
    <row r="32" spans="1:33" ht="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45"/>
      <c r="Y32" s="45"/>
      <c r="Z32" s="6"/>
      <c r="AA32" s="45"/>
      <c r="AB32" s="45"/>
      <c r="AC32" s="45"/>
      <c r="AD32" s="45"/>
      <c r="AE32" s="45"/>
      <c r="AF32" s="45"/>
      <c r="AG32" s="45"/>
    </row>
    <row r="33" spans="1:33" ht="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6"/>
      <c r="Y35" s="141" t="s">
        <v>48</v>
      </c>
      <c r="Z35" s="141"/>
      <c r="AA35" s="141"/>
      <c r="AB35" s="6"/>
      <c r="AC35" s="6"/>
      <c r="AD35" s="6"/>
      <c r="AE35" s="143" t="s">
        <v>47</v>
      </c>
      <c r="AF35" s="143"/>
      <c r="AG35" s="6"/>
    </row>
    <row r="36" spans="1:33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6"/>
      <c r="Y37" s="141" t="s">
        <v>49</v>
      </c>
      <c r="Z37" s="141"/>
      <c r="AA37" s="141"/>
      <c r="AB37" s="6"/>
      <c r="AC37" s="6"/>
      <c r="AD37" s="143" t="s">
        <v>54</v>
      </c>
      <c r="AE37" s="145"/>
      <c r="AF37" s="145"/>
      <c r="AG37" s="6"/>
    </row>
    <row r="38" spans="1:33" ht="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6"/>
      <c r="Y38" s="25"/>
      <c r="Z38" s="25"/>
      <c r="AA38" s="25"/>
      <c r="AB38" s="6"/>
      <c r="AC38" s="6"/>
      <c r="AD38" s="6"/>
      <c r="AE38" s="27"/>
      <c r="AF38" s="27"/>
      <c r="AG38" s="6"/>
    </row>
    <row r="39" spans="1:33" ht="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1:33" ht="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</row>
    <row r="41" spans="1:33" ht="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</row>
    <row r="42" spans="1:33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</row>
    <row r="43" spans="1:33" ht="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</row>
    <row r="44" spans="1:33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23" ht="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ht="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ht="11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ht="8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33" ht="12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219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</row>
    <row r="53" spans="1:33" ht="65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139" t="s">
        <v>269</v>
      </c>
      <c r="Y53" s="140"/>
      <c r="Z53" s="140"/>
      <c r="AA53" s="140"/>
      <c r="AB53" s="140"/>
      <c r="AC53" s="140"/>
      <c r="AD53" s="140"/>
      <c r="AE53" s="140"/>
      <c r="AF53" s="140"/>
      <c r="AG53" s="140"/>
    </row>
    <row r="54" spans="1:33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48" t="s">
        <v>271</v>
      </c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ht="14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134" t="s">
        <v>283</v>
      </c>
      <c r="Y55" s="141"/>
      <c r="Z55" s="141"/>
      <c r="AA55" s="141"/>
      <c r="AB55" s="141"/>
      <c r="AC55" s="141"/>
      <c r="AD55" s="141"/>
      <c r="AE55" s="141"/>
      <c r="AF55" s="49"/>
      <c r="AG55" s="49"/>
    </row>
    <row r="56" spans="1:33" ht="3" customHeight="1" hidden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141"/>
      <c r="Y56" s="141"/>
      <c r="Z56" s="141"/>
      <c r="AA56" s="141"/>
      <c r="AB56" s="141"/>
      <c r="AC56" s="141"/>
      <c r="AD56" s="141"/>
      <c r="AE56" s="141"/>
      <c r="AF56" s="49"/>
      <c r="AG56" s="49"/>
    </row>
    <row r="57" spans="1:33" ht="10.5" customHeight="1" hidden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141"/>
      <c r="Y57" s="141"/>
      <c r="Z57" s="141"/>
      <c r="AA57" s="141"/>
      <c r="AB57" s="141"/>
      <c r="AC57" s="141"/>
      <c r="AD57" s="141"/>
      <c r="AE57" s="141"/>
      <c r="AF57" s="49"/>
      <c r="AG57" s="49"/>
    </row>
    <row r="58" spans="1:33" ht="10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141"/>
      <c r="Y58" s="141"/>
      <c r="Z58" s="141"/>
      <c r="AA58" s="141"/>
      <c r="AB58" s="141"/>
      <c r="AC58" s="141"/>
      <c r="AD58" s="141"/>
      <c r="AE58" s="141"/>
      <c r="AF58" s="49"/>
      <c r="AG58" s="49"/>
    </row>
    <row r="59" spans="1:33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141"/>
      <c r="Y59" s="141"/>
      <c r="Z59" s="141"/>
      <c r="AA59" s="141"/>
      <c r="AB59" s="141"/>
      <c r="AC59" s="141"/>
      <c r="AD59" s="141"/>
      <c r="AE59" s="141"/>
      <c r="AF59" s="49"/>
      <c r="AG59" s="49"/>
    </row>
    <row r="60" spans="1:33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2"/>
      <c r="X60" s="141"/>
      <c r="Y60" s="141"/>
      <c r="Z60" s="141"/>
      <c r="AA60" s="141"/>
      <c r="AB60" s="141"/>
      <c r="AC60" s="141"/>
      <c r="AD60" s="141"/>
      <c r="AE60" s="141"/>
      <c r="AF60" s="49"/>
      <c r="AG60" s="49"/>
    </row>
    <row r="61" spans="1:33" ht="15">
      <c r="A61" s="136" t="s">
        <v>1</v>
      </c>
      <c r="B61" s="136"/>
      <c r="C61" s="136"/>
      <c r="D61" s="137"/>
      <c r="E61" s="137"/>
      <c r="F61" s="132" t="s">
        <v>2</v>
      </c>
      <c r="G61" s="132"/>
      <c r="H61" s="132"/>
      <c r="I61" s="132"/>
      <c r="J61" s="76"/>
      <c r="K61" s="76"/>
      <c r="L61" s="132" t="s">
        <v>4</v>
      </c>
      <c r="M61" s="133"/>
      <c r="N61" s="133"/>
      <c r="O61" s="133"/>
      <c r="P61" s="76"/>
      <c r="Q61" s="76"/>
      <c r="R61" s="132" t="s">
        <v>272</v>
      </c>
      <c r="S61" s="133"/>
      <c r="T61" s="133"/>
      <c r="U61" s="76"/>
      <c r="V61" s="78"/>
      <c r="W61" s="78"/>
      <c r="X61" s="141"/>
      <c r="Y61" s="141"/>
      <c r="Z61" s="141"/>
      <c r="AA61" s="141"/>
      <c r="AB61" s="141"/>
      <c r="AC61" s="141"/>
      <c r="AD61" s="141"/>
      <c r="AE61" s="141"/>
      <c r="AF61" s="49"/>
      <c r="AG61" s="49"/>
    </row>
    <row r="62" spans="1:33" ht="15">
      <c r="A62" s="79" t="s">
        <v>24</v>
      </c>
      <c r="B62" s="80"/>
      <c r="C62" s="80"/>
      <c r="D62" s="81"/>
      <c r="E62" s="81"/>
      <c r="F62" s="82" t="s">
        <v>24</v>
      </c>
      <c r="G62" s="82"/>
      <c r="H62" s="82"/>
      <c r="I62" s="82"/>
      <c r="J62" s="76"/>
      <c r="K62" s="76"/>
      <c r="L62" s="82" t="s">
        <v>24</v>
      </c>
      <c r="M62" s="79"/>
      <c r="N62" s="79"/>
      <c r="O62" s="79"/>
      <c r="P62" s="76"/>
      <c r="Q62" s="76"/>
      <c r="R62" s="83" t="s">
        <v>24</v>
      </c>
      <c r="S62" s="84"/>
      <c r="T62" s="84"/>
      <c r="U62" s="76"/>
      <c r="V62" s="78"/>
      <c r="W62" s="78"/>
      <c r="X62" s="141"/>
      <c r="Y62" s="141"/>
      <c r="Z62" s="141"/>
      <c r="AA62" s="141"/>
      <c r="AB62" s="141"/>
      <c r="AC62" s="141"/>
      <c r="AD62" s="141"/>
      <c r="AE62" s="141"/>
      <c r="AF62" s="49"/>
      <c r="AG62" s="49"/>
    </row>
    <row r="63" spans="1:33" ht="15">
      <c r="A63" s="79" t="s">
        <v>26</v>
      </c>
      <c r="B63" s="85">
        <v>0.4</v>
      </c>
      <c r="C63" s="86"/>
      <c r="D63" s="81"/>
      <c r="E63" s="81"/>
      <c r="F63" s="87" t="s">
        <v>217</v>
      </c>
      <c r="G63" s="88" t="s">
        <v>3</v>
      </c>
      <c r="H63" s="88">
        <v>0.4</v>
      </c>
      <c r="I63" s="89">
        <v>537384.84</v>
      </c>
      <c r="J63" s="76"/>
      <c r="K63" s="76"/>
      <c r="L63" s="87" t="s">
        <v>30</v>
      </c>
      <c r="M63" s="90">
        <v>0.4</v>
      </c>
      <c r="N63" s="88" t="s">
        <v>3</v>
      </c>
      <c r="O63" s="89">
        <v>670089.12</v>
      </c>
      <c r="P63" s="76"/>
      <c r="Q63" s="76"/>
      <c r="R63" s="91" t="s">
        <v>6</v>
      </c>
      <c r="S63" s="92" t="s">
        <v>17</v>
      </c>
      <c r="T63" s="93">
        <v>4627.57</v>
      </c>
      <c r="U63" s="76"/>
      <c r="V63" s="78"/>
      <c r="W63" s="78"/>
      <c r="X63" s="141"/>
      <c r="Y63" s="141"/>
      <c r="Z63" s="141"/>
      <c r="AA63" s="141"/>
      <c r="AB63" s="141"/>
      <c r="AC63" s="141"/>
      <c r="AD63" s="141"/>
      <c r="AE63" s="141"/>
      <c r="AF63" s="49"/>
      <c r="AG63" s="49"/>
    </row>
    <row r="64" spans="1:33" ht="15">
      <c r="A64" s="79" t="s">
        <v>82</v>
      </c>
      <c r="B64" s="85">
        <v>0.4</v>
      </c>
      <c r="C64" s="86">
        <v>11092.53</v>
      </c>
      <c r="D64" s="81"/>
      <c r="E64" s="81"/>
      <c r="F64" s="87" t="s">
        <v>218</v>
      </c>
      <c r="G64" s="88" t="s">
        <v>3</v>
      </c>
      <c r="H64" s="88">
        <v>0.4</v>
      </c>
      <c r="I64" s="89">
        <v>570666.17</v>
      </c>
      <c r="J64" s="76"/>
      <c r="K64" s="76"/>
      <c r="L64" s="87" t="s">
        <v>86</v>
      </c>
      <c r="M64" s="90">
        <v>0.4</v>
      </c>
      <c r="N64" s="88" t="s">
        <v>3</v>
      </c>
      <c r="O64" s="89">
        <v>874816.29</v>
      </c>
      <c r="P64" s="76"/>
      <c r="Q64" s="76"/>
      <c r="R64" s="91" t="s">
        <v>7</v>
      </c>
      <c r="S64" s="92" t="s">
        <v>17</v>
      </c>
      <c r="T64" s="93">
        <v>3198.51</v>
      </c>
      <c r="U64" s="76"/>
      <c r="V64" s="78"/>
      <c r="W64" s="78"/>
      <c r="X64" s="141"/>
      <c r="Y64" s="141"/>
      <c r="Z64" s="141"/>
      <c r="AA64" s="141"/>
      <c r="AB64" s="141"/>
      <c r="AC64" s="141"/>
      <c r="AD64" s="141"/>
      <c r="AE64" s="141"/>
      <c r="AF64" s="49"/>
      <c r="AG64" s="49"/>
    </row>
    <row r="65" spans="1:33" ht="15">
      <c r="A65" s="79" t="s">
        <v>83</v>
      </c>
      <c r="B65" s="85">
        <v>0.4</v>
      </c>
      <c r="C65" s="86">
        <v>11092.53</v>
      </c>
      <c r="D65" s="81"/>
      <c r="E65" s="81"/>
      <c r="F65" s="87" t="s">
        <v>219</v>
      </c>
      <c r="G65" s="88" t="s">
        <v>3</v>
      </c>
      <c r="H65" s="88">
        <v>0.4</v>
      </c>
      <c r="I65" s="89">
        <v>601611.67</v>
      </c>
      <c r="J65" s="76"/>
      <c r="K65" s="76"/>
      <c r="L65" s="87" t="s">
        <v>31</v>
      </c>
      <c r="M65" s="90">
        <v>0.4</v>
      </c>
      <c r="N65" s="88" t="s">
        <v>3</v>
      </c>
      <c r="O65" s="89">
        <v>643834.43</v>
      </c>
      <c r="P65" s="76"/>
      <c r="Q65" s="76"/>
      <c r="R65" s="91" t="s">
        <v>8</v>
      </c>
      <c r="S65" s="92" t="s">
        <v>17</v>
      </c>
      <c r="T65" s="93">
        <v>3016.48</v>
      </c>
      <c r="U65" s="76"/>
      <c r="V65" s="78"/>
      <c r="W65" s="78"/>
      <c r="X65" s="141"/>
      <c r="Y65" s="141"/>
      <c r="Z65" s="141"/>
      <c r="AA65" s="141"/>
      <c r="AB65" s="141"/>
      <c r="AC65" s="141"/>
      <c r="AD65" s="141"/>
      <c r="AE65" s="141"/>
      <c r="AF65" s="49"/>
      <c r="AG65" s="49"/>
    </row>
    <row r="66" spans="1:33" ht="15">
      <c r="A66" s="79" t="s">
        <v>27</v>
      </c>
      <c r="B66" s="85">
        <v>0.4</v>
      </c>
      <c r="C66" s="86">
        <v>11092.53</v>
      </c>
      <c r="D66" s="81"/>
      <c r="E66" s="81"/>
      <c r="F66" s="87" t="s">
        <v>220</v>
      </c>
      <c r="G66" s="88" t="s">
        <v>3</v>
      </c>
      <c r="H66" s="88">
        <v>0.4</v>
      </c>
      <c r="I66" s="89">
        <v>749132.41</v>
      </c>
      <c r="J66" s="76"/>
      <c r="K66" s="76"/>
      <c r="L66" s="87" t="s">
        <v>87</v>
      </c>
      <c r="M66" s="90">
        <v>0.4</v>
      </c>
      <c r="N66" s="88" t="s">
        <v>3</v>
      </c>
      <c r="O66" s="89">
        <v>905414.49</v>
      </c>
      <c r="P66" s="76"/>
      <c r="Q66" s="76"/>
      <c r="R66" s="91" t="s">
        <v>9</v>
      </c>
      <c r="S66" s="92" t="s">
        <v>17</v>
      </c>
      <c r="T66" s="93">
        <v>4152.42</v>
      </c>
      <c r="U66" s="76"/>
      <c r="V66" s="78"/>
      <c r="W66" s="78"/>
      <c r="X66" s="141"/>
      <c r="Y66" s="141"/>
      <c r="Z66" s="141"/>
      <c r="AA66" s="141"/>
      <c r="AB66" s="141"/>
      <c r="AC66" s="141"/>
      <c r="AD66" s="141"/>
      <c r="AE66" s="141"/>
      <c r="AF66" s="49"/>
      <c r="AG66" s="49"/>
    </row>
    <row r="67" spans="1:33" ht="15">
      <c r="A67" s="79" t="s">
        <v>24</v>
      </c>
      <c r="B67" s="94"/>
      <c r="C67" s="86"/>
      <c r="D67" s="81"/>
      <c r="E67" s="81"/>
      <c r="F67" s="87" t="s">
        <v>221</v>
      </c>
      <c r="G67" s="88" t="s">
        <v>3</v>
      </c>
      <c r="H67" s="88">
        <v>0.4</v>
      </c>
      <c r="I67" s="89">
        <v>782735.75</v>
      </c>
      <c r="J67" s="76"/>
      <c r="K67" s="76"/>
      <c r="L67" s="87" t="s">
        <v>32</v>
      </c>
      <c r="M67" s="90">
        <v>0.4</v>
      </c>
      <c r="N67" s="88" t="s">
        <v>3</v>
      </c>
      <c r="O67" s="89">
        <v>692355.9</v>
      </c>
      <c r="P67" s="76"/>
      <c r="Q67" s="76"/>
      <c r="R67" s="91" t="s">
        <v>10</v>
      </c>
      <c r="S67" s="92" t="s">
        <v>17</v>
      </c>
      <c r="T67" s="93">
        <v>3073.08</v>
      </c>
      <c r="U67" s="76"/>
      <c r="V67" s="78"/>
      <c r="W67" s="78"/>
      <c r="X67" s="141"/>
      <c r="Y67" s="141"/>
      <c r="Z67" s="141"/>
      <c r="AA67" s="141"/>
      <c r="AB67" s="141"/>
      <c r="AC67" s="141"/>
      <c r="AD67" s="141"/>
      <c r="AE67" s="141"/>
      <c r="AF67" s="49"/>
      <c r="AG67" s="49"/>
    </row>
    <row r="68" spans="1:33" ht="15">
      <c r="A68" s="79" t="s">
        <v>28</v>
      </c>
      <c r="B68" s="94" t="s">
        <v>0</v>
      </c>
      <c r="C68" s="86"/>
      <c r="D68" s="81"/>
      <c r="E68" s="81"/>
      <c r="F68" s="87" t="s">
        <v>222</v>
      </c>
      <c r="G68" s="88" t="s">
        <v>3</v>
      </c>
      <c r="H68" s="88">
        <v>0.4</v>
      </c>
      <c r="I68" s="89">
        <v>876239.21</v>
      </c>
      <c r="J68" s="76"/>
      <c r="K68" s="76"/>
      <c r="L68" s="87" t="s">
        <v>88</v>
      </c>
      <c r="M68" s="90">
        <v>0.4</v>
      </c>
      <c r="N68" s="88" t="s">
        <v>3</v>
      </c>
      <c r="O68" s="89">
        <v>1002406.2</v>
      </c>
      <c r="P68" s="76"/>
      <c r="Q68" s="76"/>
      <c r="R68" s="91" t="s">
        <v>11</v>
      </c>
      <c r="S68" s="92" t="s">
        <v>17</v>
      </c>
      <c r="T68" s="93">
        <v>3577.28</v>
      </c>
      <c r="U68" s="76"/>
      <c r="V68" s="78"/>
      <c r="W68" s="78"/>
      <c r="X68" s="141"/>
      <c r="Y68" s="141"/>
      <c r="Z68" s="141"/>
      <c r="AA68" s="141"/>
      <c r="AB68" s="141"/>
      <c r="AC68" s="141"/>
      <c r="AD68" s="141"/>
      <c r="AE68" s="141"/>
      <c r="AF68" s="49"/>
      <c r="AG68" s="49"/>
    </row>
    <row r="69" spans="1:33" ht="15">
      <c r="A69" s="79" t="s">
        <v>84</v>
      </c>
      <c r="B69" s="94" t="s">
        <v>0</v>
      </c>
      <c r="C69" s="86">
        <v>11092.53</v>
      </c>
      <c r="D69" s="95"/>
      <c r="E69" s="96"/>
      <c r="F69" s="87" t="s">
        <v>223</v>
      </c>
      <c r="G69" s="88" t="s">
        <v>3</v>
      </c>
      <c r="H69" s="88">
        <v>0.4</v>
      </c>
      <c r="I69" s="89">
        <v>983396.25</v>
      </c>
      <c r="J69" s="76"/>
      <c r="K69" s="76"/>
      <c r="L69" s="87" t="s">
        <v>33</v>
      </c>
      <c r="M69" s="90">
        <v>0.4</v>
      </c>
      <c r="N69" s="88" t="s">
        <v>3</v>
      </c>
      <c r="O69" s="89">
        <v>744109.26</v>
      </c>
      <c r="P69" s="76"/>
      <c r="Q69" s="76"/>
      <c r="R69" s="91" t="s">
        <v>12</v>
      </c>
      <c r="S69" s="92" t="s">
        <v>17</v>
      </c>
      <c r="T69" s="93">
        <v>3389.3</v>
      </c>
      <c r="U69" s="76"/>
      <c r="V69" s="78"/>
      <c r="W69" s="78"/>
      <c r="X69" s="141"/>
      <c r="Y69" s="141"/>
      <c r="Z69" s="141"/>
      <c r="AA69" s="141"/>
      <c r="AB69" s="141"/>
      <c r="AC69" s="141"/>
      <c r="AD69" s="141"/>
      <c r="AE69" s="141"/>
      <c r="AF69" s="49"/>
      <c r="AG69" s="49"/>
    </row>
    <row r="70" spans="1:33" ht="15">
      <c r="A70" s="79" t="s">
        <v>85</v>
      </c>
      <c r="B70" s="94" t="s">
        <v>0</v>
      </c>
      <c r="C70" s="86">
        <v>11092.53</v>
      </c>
      <c r="D70" s="95"/>
      <c r="E70" s="96"/>
      <c r="F70" s="87" t="s">
        <v>224</v>
      </c>
      <c r="G70" s="88" t="s">
        <v>3</v>
      </c>
      <c r="H70" s="88">
        <v>0.4</v>
      </c>
      <c r="I70" s="89">
        <v>1150792.18</v>
      </c>
      <c r="J70" s="76"/>
      <c r="K70" s="76"/>
      <c r="L70" s="87" t="s">
        <v>89</v>
      </c>
      <c r="M70" s="90">
        <v>0.4</v>
      </c>
      <c r="N70" s="88" t="s">
        <v>3</v>
      </c>
      <c r="O70" s="89">
        <v>1105907.19</v>
      </c>
      <c r="P70" s="76"/>
      <c r="Q70" s="76"/>
      <c r="R70" s="91" t="s">
        <v>80</v>
      </c>
      <c r="S70" s="92" t="s">
        <v>17</v>
      </c>
      <c r="T70" s="93">
        <v>2356.85</v>
      </c>
      <c r="U70" s="76"/>
      <c r="V70" s="78"/>
      <c r="W70" s="78"/>
      <c r="X70" s="141"/>
      <c r="Y70" s="141"/>
      <c r="Z70" s="141"/>
      <c r="AA70" s="141"/>
      <c r="AB70" s="141"/>
      <c r="AC70" s="141"/>
      <c r="AD70" s="141"/>
      <c r="AE70" s="141"/>
      <c r="AF70" s="49"/>
      <c r="AG70" s="49"/>
    </row>
    <row r="71" spans="1:33" ht="15">
      <c r="A71" s="79" t="s">
        <v>29</v>
      </c>
      <c r="B71" s="94" t="s">
        <v>0</v>
      </c>
      <c r="C71" s="86">
        <v>11092.53</v>
      </c>
      <c r="D71" s="95"/>
      <c r="E71" s="96"/>
      <c r="F71" s="87" t="s">
        <v>225</v>
      </c>
      <c r="G71" s="88" t="s">
        <v>3</v>
      </c>
      <c r="H71" s="88">
        <v>0.4</v>
      </c>
      <c r="I71" s="89">
        <v>639817.92</v>
      </c>
      <c r="J71" s="76"/>
      <c r="K71" s="76"/>
      <c r="L71" s="87" t="s">
        <v>34</v>
      </c>
      <c r="M71" s="90">
        <v>0.4</v>
      </c>
      <c r="N71" s="88" t="s">
        <v>3</v>
      </c>
      <c r="O71" s="89">
        <v>795404.22</v>
      </c>
      <c r="P71" s="76"/>
      <c r="Q71" s="76"/>
      <c r="R71" s="91" t="s">
        <v>273</v>
      </c>
      <c r="S71" s="92" t="s">
        <v>17</v>
      </c>
      <c r="T71" s="93">
        <v>10095.81</v>
      </c>
      <c r="U71" s="76"/>
      <c r="V71" s="78"/>
      <c r="W71" s="78"/>
      <c r="X71" s="141"/>
      <c r="Y71" s="141"/>
      <c r="Z71" s="141"/>
      <c r="AA71" s="141"/>
      <c r="AB71" s="141"/>
      <c r="AC71" s="141"/>
      <c r="AD71" s="141"/>
      <c r="AE71" s="141"/>
      <c r="AF71" s="11"/>
      <c r="AG71" s="11"/>
    </row>
    <row r="72" spans="1:33" ht="15">
      <c r="A72" s="72"/>
      <c r="B72" s="72"/>
      <c r="C72" s="72"/>
      <c r="D72" s="95"/>
      <c r="E72" s="96"/>
      <c r="F72" s="87" t="s">
        <v>226</v>
      </c>
      <c r="G72" s="88" t="s">
        <v>3</v>
      </c>
      <c r="H72" s="88">
        <v>0.4</v>
      </c>
      <c r="I72" s="89">
        <v>680024.16</v>
      </c>
      <c r="J72" s="76"/>
      <c r="K72" s="76"/>
      <c r="L72" s="87" t="s">
        <v>90</v>
      </c>
      <c r="M72" s="90">
        <v>0.4</v>
      </c>
      <c r="N72" s="88" t="s">
        <v>3</v>
      </c>
      <c r="O72" s="89">
        <v>1208479.92</v>
      </c>
      <c r="P72" s="76"/>
      <c r="Q72" s="76"/>
      <c r="R72" s="91" t="s">
        <v>274</v>
      </c>
      <c r="S72" s="92" t="s">
        <v>17</v>
      </c>
      <c r="T72" s="93">
        <v>5054.85</v>
      </c>
      <c r="U72" s="76"/>
      <c r="V72" s="78"/>
      <c r="W72" s="78"/>
      <c r="X72" s="141"/>
      <c r="Y72" s="141"/>
      <c r="Z72" s="141"/>
      <c r="AA72" s="141"/>
      <c r="AB72" s="141"/>
      <c r="AC72" s="141"/>
      <c r="AD72" s="141"/>
      <c r="AE72" s="141"/>
      <c r="AF72" s="11"/>
      <c r="AG72" s="11"/>
    </row>
    <row r="73" spans="1:33" ht="15">
      <c r="A73" s="79"/>
      <c r="B73" s="94"/>
      <c r="C73" s="86"/>
      <c r="D73" s="95"/>
      <c r="E73" s="96"/>
      <c r="F73" s="87" t="s">
        <v>227</v>
      </c>
      <c r="G73" s="88" t="s">
        <v>3</v>
      </c>
      <c r="H73" s="88">
        <v>0.4</v>
      </c>
      <c r="I73" s="89">
        <v>740810.88</v>
      </c>
      <c r="J73" s="76"/>
      <c r="K73" s="76"/>
      <c r="L73" s="87" t="s">
        <v>36</v>
      </c>
      <c r="M73" s="90">
        <v>0.4</v>
      </c>
      <c r="N73" s="88" t="s">
        <v>3</v>
      </c>
      <c r="O73" s="89">
        <v>783084.72</v>
      </c>
      <c r="P73" s="76"/>
      <c r="Q73" s="76"/>
      <c r="R73" s="91" t="s">
        <v>275</v>
      </c>
      <c r="S73" s="92" t="s">
        <v>17</v>
      </c>
      <c r="T73" s="93">
        <v>3437.12</v>
      </c>
      <c r="U73" s="76"/>
      <c r="V73" s="78"/>
      <c r="W73" s="78"/>
      <c r="X73" s="141"/>
      <c r="Y73" s="141"/>
      <c r="Z73" s="141"/>
      <c r="AA73" s="141"/>
      <c r="AB73" s="141"/>
      <c r="AC73" s="141"/>
      <c r="AD73" s="141"/>
      <c r="AE73" s="141"/>
      <c r="AF73" s="11"/>
      <c r="AG73" s="11"/>
    </row>
    <row r="74" spans="1:33" ht="15">
      <c r="A74" s="79"/>
      <c r="B74" s="94"/>
      <c r="C74" s="86"/>
      <c r="D74" s="95"/>
      <c r="E74" s="96"/>
      <c r="F74" s="87" t="s">
        <v>228</v>
      </c>
      <c r="G74" s="88" t="s">
        <v>3</v>
      </c>
      <c r="H74" s="88">
        <v>0.4</v>
      </c>
      <c r="I74" s="89">
        <v>817637.76</v>
      </c>
      <c r="J74" s="76"/>
      <c r="K74" s="76"/>
      <c r="L74" s="87" t="s">
        <v>91</v>
      </c>
      <c r="M74" s="90">
        <v>0.4</v>
      </c>
      <c r="N74" s="88" t="s">
        <v>3</v>
      </c>
      <c r="O74" s="89">
        <v>1183840.92</v>
      </c>
      <c r="P74" s="76"/>
      <c r="Q74" s="76"/>
      <c r="R74" s="91" t="s">
        <v>276</v>
      </c>
      <c r="S74" s="92" t="s">
        <v>17</v>
      </c>
      <c r="T74" s="93">
        <v>2348.52</v>
      </c>
      <c r="U74" s="76"/>
      <c r="V74" s="78"/>
      <c r="W74" s="78"/>
      <c r="X74" s="141"/>
      <c r="Y74" s="141"/>
      <c r="Z74" s="141"/>
      <c r="AA74" s="141"/>
      <c r="AB74" s="141"/>
      <c r="AC74" s="141"/>
      <c r="AD74" s="141"/>
      <c r="AE74" s="141"/>
      <c r="AF74" s="11"/>
      <c r="AG74" s="11"/>
    </row>
    <row r="75" spans="1:33" ht="15">
      <c r="A75" s="79"/>
      <c r="B75" s="94"/>
      <c r="C75" s="86"/>
      <c r="D75" s="95"/>
      <c r="E75" s="96"/>
      <c r="F75" s="87" t="s">
        <v>229</v>
      </c>
      <c r="G75" s="88" t="s">
        <v>3</v>
      </c>
      <c r="H75" s="88">
        <v>0.4</v>
      </c>
      <c r="I75" s="89">
        <v>903571.2</v>
      </c>
      <c r="J75" s="76"/>
      <c r="K75" s="76"/>
      <c r="L75" s="87" t="s">
        <v>35</v>
      </c>
      <c r="M75" s="90">
        <v>0.4</v>
      </c>
      <c r="N75" s="88" t="s">
        <v>3</v>
      </c>
      <c r="O75" s="89">
        <v>857792.46</v>
      </c>
      <c r="P75" s="76"/>
      <c r="Q75" s="76"/>
      <c r="R75" s="91" t="s">
        <v>195</v>
      </c>
      <c r="S75" s="92" t="s">
        <v>17</v>
      </c>
      <c r="T75" s="93">
        <v>8727</v>
      </c>
      <c r="U75" s="76"/>
      <c r="V75" s="78"/>
      <c r="W75" s="78"/>
      <c r="X75" s="141"/>
      <c r="Y75" s="141"/>
      <c r="Z75" s="141"/>
      <c r="AA75" s="141"/>
      <c r="AB75" s="141"/>
      <c r="AC75" s="141"/>
      <c r="AD75" s="141"/>
      <c r="AE75" s="141"/>
      <c r="AF75" s="11"/>
      <c r="AG75" s="11"/>
    </row>
    <row r="76" spans="1:33" ht="15">
      <c r="A76" s="79"/>
      <c r="B76" s="94"/>
      <c r="C76" s="86"/>
      <c r="D76" s="95"/>
      <c r="E76" s="96"/>
      <c r="F76" s="87" t="s">
        <v>230</v>
      </c>
      <c r="G76" s="88" t="s">
        <v>3</v>
      </c>
      <c r="H76" s="88">
        <v>0.4</v>
      </c>
      <c r="I76" s="89">
        <v>1000969.92</v>
      </c>
      <c r="J76" s="76"/>
      <c r="K76" s="76"/>
      <c r="L76" s="87" t="s">
        <v>92</v>
      </c>
      <c r="M76" s="90">
        <v>0.4</v>
      </c>
      <c r="N76" s="88" t="s">
        <v>3</v>
      </c>
      <c r="O76" s="89">
        <v>1392252.48</v>
      </c>
      <c r="P76" s="76"/>
      <c r="Q76" s="76"/>
      <c r="R76" s="91" t="s">
        <v>196</v>
      </c>
      <c r="S76" s="92" t="s">
        <v>17</v>
      </c>
      <c r="T76" s="93">
        <v>6549.1</v>
      </c>
      <c r="U76" s="76"/>
      <c r="V76" s="78"/>
      <c r="W76" s="78"/>
      <c r="X76" s="141"/>
      <c r="Y76" s="141"/>
      <c r="Z76" s="141"/>
      <c r="AA76" s="141"/>
      <c r="AB76" s="141"/>
      <c r="AC76" s="141"/>
      <c r="AD76" s="141"/>
      <c r="AE76" s="141"/>
      <c r="AF76" s="11"/>
      <c r="AG76" s="11"/>
    </row>
    <row r="77" spans="1:33" ht="15">
      <c r="A77" s="81"/>
      <c r="B77" s="97"/>
      <c r="C77" s="98"/>
      <c r="D77" s="95"/>
      <c r="E77" s="96"/>
      <c r="F77" s="87" t="s">
        <v>136</v>
      </c>
      <c r="G77" s="88" t="s">
        <v>3</v>
      </c>
      <c r="H77" s="88">
        <v>0.4</v>
      </c>
      <c r="I77" s="89">
        <v>575285.76</v>
      </c>
      <c r="J77" s="76"/>
      <c r="K77" s="76"/>
      <c r="L77" s="87" t="s">
        <v>81</v>
      </c>
      <c r="M77" s="90">
        <v>0.4</v>
      </c>
      <c r="N77" s="88" t="s">
        <v>3</v>
      </c>
      <c r="O77" s="89">
        <v>948504.09</v>
      </c>
      <c r="P77" s="76"/>
      <c r="Q77" s="76"/>
      <c r="R77" s="91" t="s">
        <v>197</v>
      </c>
      <c r="S77" s="92" t="s">
        <v>17</v>
      </c>
      <c r="T77" s="93">
        <v>4479.61</v>
      </c>
      <c r="U77" s="76"/>
      <c r="V77" s="78"/>
      <c r="W77" s="78"/>
      <c r="X77" s="141"/>
      <c r="Y77" s="141"/>
      <c r="Z77" s="141"/>
      <c r="AA77" s="141"/>
      <c r="AB77" s="141"/>
      <c r="AC77" s="141"/>
      <c r="AD77" s="141"/>
      <c r="AE77" s="141"/>
      <c r="AF77" s="11"/>
      <c r="AG77" s="11"/>
    </row>
    <row r="78" spans="1:33" ht="15">
      <c r="A78" s="81"/>
      <c r="B78" s="97"/>
      <c r="C78" s="98"/>
      <c r="D78" s="95"/>
      <c r="E78" s="96"/>
      <c r="F78" s="87" t="s">
        <v>137</v>
      </c>
      <c r="G78" s="88" t="s">
        <v>3</v>
      </c>
      <c r="H78" s="88">
        <v>0.4</v>
      </c>
      <c r="I78" s="89">
        <v>637718.4</v>
      </c>
      <c r="J78" s="76"/>
      <c r="K78" s="76"/>
      <c r="L78" s="87" t="s">
        <v>93</v>
      </c>
      <c r="M78" s="90">
        <v>0.4</v>
      </c>
      <c r="N78" s="88" t="s">
        <v>3</v>
      </c>
      <c r="O78" s="89">
        <v>1514714.04</v>
      </c>
      <c r="P78" s="76"/>
      <c r="Q78" s="76"/>
      <c r="R78" s="91" t="s">
        <v>198</v>
      </c>
      <c r="S78" s="92" t="s">
        <v>17</v>
      </c>
      <c r="T78" s="93">
        <v>3395.58</v>
      </c>
      <c r="U78" s="76"/>
      <c r="V78" s="78"/>
      <c r="W78" s="78"/>
      <c r="X78" s="141"/>
      <c r="Y78" s="141"/>
      <c r="Z78" s="141"/>
      <c r="AA78" s="141"/>
      <c r="AB78" s="141"/>
      <c r="AC78" s="141"/>
      <c r="AD78" s="141"/>
      <c r="AE78" s="141"/>
      <c r="AF78" s="11"/>
      <c r="AG78" s="11"/>
    </row>
    <row r="79" spans="1:33" ht="15">
      <c r="A79" s="81"/>
      <c r="B79" s="97"/>
      <c r="C79" s="98"/>
      <c r="D79" s="95"/>
      <c r="E79" s="96"/>
      <c r="F79" s="87" t="s">
        <v>231</v>
      </c>
      <c r="G79" s="88" t="s">
        <v>3</v>
      </c>
      <c r="H79" s="88">
        <v>0.4</v>
      </c>
      <c r="I79" s="89">
        <v>384263.96</v>
      </c>
      <c r="J79" s="76"/>
      <c r="K79" s="76"/>
      <c r="L79" s="87" t="s">
        <v>111</v>
      </c>
      <c r="M79" s="90">
        <v>0.4</v>
      </c>
      <c r="N79" s="88" t="s">
        <v>3</v>
      </c>
      <c r="O79" s="89">
        <v>1182282.36</v>
      </c>
      <c r="P79" s="76"/>
      <c r="Q79" s="76"/>
      <c r="R79" s="91" t="s">
        <v>199</v>
      </c>
      <c r="S79" s="92" t="s">
        <v>17</v>
      </c>
      <c r="T79" s="93">
        <v>3382.82</v>
      </c>
      <c r="U79" s="76"/>
      <c r="V79" s="78"/>
      <c r="W79" s="78"/>
      <c r="X79" s="141"/>
      <c r="Y79" s="141"/>
      <c r="Z79" s="141"/>
      <c r="AA79" s="141"/>
      <c r="AB79" s="141"/>
      <c r="AC79" s="141"/>
      <c r="AD79" s="141"/>
      <c r="AE79" s="141"/>
      <c r="AF79" s="11"/>
      <c r="AG79" s="11"/>
    </row>
    <row r="80" spans="1:33" ht="15">
      <c r="A80" s="81"/>
      <c r="B80" s="97"/>
      <c r="C80" s="98"/>
      <c r="D80" s="95"/>
      <c r="E80" s="96"/>
      <c r="F80" s="87" t="s">
        <v>232</v>
      </c>
      <c r="G80" s="88" t="s">
        <v>3</v>
      </c>
      <c r="H80" s="88">
        <v>0.4</v>
      </c>
      <c r="I80" s="89">
        <v>222181.92</v>
      </c>
      <c r="J80" s="76"/>
      <c r="K80" s="76"/>
      <c r="L80" s="87" t="s">
        <v>112</v>
      </c>
      <c r="M80" s="90">
        <v>0.4</v>
      </c>
      <c r="N80" s="88" t="s">
        <v>3</v>
      </c>
      <c r="O80" s="89">
        <v>465992.25</v>
      </c>
      <c r="P80" s="76"/>
      <c r="Q80" s="76"/>
      <c r="R80" s="91" t="s">
        <v>200</v>
      </c>
      <c r="S80" s="92" t="s">
        <v>17</v>
      </c>
      <c r="T80" s="93">
        <v>2492.66</v>
      </c>
      <c r="U80" s="76"/>
      <c r="V80" s="78"/>
      <c r="W80" s="78"/>
      <c r="X80" s="141"/>
      <c r="Y80" s="141"/>
      <c r="Z80" s="141"/>
      <c r="AA80" s="141"/>
      <c r="AB80" s="141"/>
      <c r="AC80" s="141"/>
      <c r="AD80" s="141"/>
      <c r="AE80" s="141"/>
      <c r="AF80" s="11"/>
      <c r="AG80" s="11"/>
    </row>
    <row r="81" spans="1:33" ht="15">
      <c r="A81" s="81"/>
      <c r="B81" s="97"/>
      <c r="C81" s="98"/>
      <c r="D81" s="95"/>
      <c r="E81" s="96"/>
      <c r="F81" s="87" t="s">
        <v>233</v>
      </c>
      <c r="G81" s="88" t="s">
        <v>3</v>
      </c>
      <c r="H81" s="88">
        <v>0.4</v>
      </c>
      <c r="I81" s="89">
        <v>262012.32</v>
      </c>
      <c r="J81" s="76"/>
      <c r="K81" s="76"/>
      <c r="L81" s="87" t="s">
        <v>113</v>
      </c>
      <c r="M81" s="90">
        <v>0.4</v>
      </c>
      <c r="N81" s="88" t="s">
        <v>3</v>
      </c>
      <c r="O81" s="89">
        <v>586488.42</v>
      </c>
      <c r="P81" s="76"/>
      <c r="Q81" s="76"/>
      <c r="R81" s="91" t="s">
        <v>201</v>
      </c>
      <c r="S81" s="92" t="s">
        <v>17</v>
      </c>
      <c r="T81" s="93">
        <v>1948.98</v>
      </c>
      <c r="U81" s="76"/>
      <c r="V81" s="78"/>
      <c r="W81" s="78"/>
      <c r="X81" s="141"/>
      <c r="Y81" s="141"/>
      <c r="Z81" s="141"/>
      <c r="AA81" s="141"/>
      <c r="AB81" s="141"/>
      <c r="AC81" s="141"/>
      <c r="AD81" s="141"/>
      <c r="AE81" s="141"/>
      <c r="AF81" s="11"/>
      <c r="AG81" s="11"/>
    </row>
    <row r="82" spans="1:33" ht="15">
      <c r="A82" s="81"/>
      <c r="B82" s="97"/>
      <c r="C82" s="98"/>
      <c r="D82" s="95"/>
      <c r="E82" s="96"/>
      <c r="F82" s="87" t="s">
        <v>234</v>
      </c>
      <c r="G82" s="88" t="s">
        <v>3</v>
      </c>
      <c r="H82" s="88">
        <v>0.4</v>
      </c>
      <c r="I82" s="89">
        <v>322276.32</v>
      </c>
      <c r="J82" s="76"/>
      <c r="K82" s="76"/>
      <c r="L82" s="87" t="s">
        <v>114</v>
      </c>
      <c r="M82" s="90">
        <v>0.4</v>
      </c>
      <c r="N82" s="88" t="s">
        <v>3</v>
      </c>
      <c r="O82" s="89">
        <v>622369.68</v>
      </c>
      <c r="P82" s="76"/>
      <c r="Q82" s="76"/>
      <c r="R82" s="91" t="s">
        <v>203</v>
      </c>
      <c r="S82" s="92" t="s">
        <v>17</v>
      </c>
      <c r="T82" s="93">
        <v>7018.16</v>
      </c>
      <c r="U82" s="76"/>
      <c r="V82" s="78"/>
      <c r="W82" s="78"/>
      <c r="X82" s="141"/>
      <c r="Y82" s="141"/>
      <c r="Z82" s="141"/>
      <c r="AA82" s="141"/>
      <c r="AB82" s="141"/>
      <c r="AC82" s="141"/>
      <c r="AD82" s="141"/>
      <c r="AE82" s="141"/>
      <c r="AF82" s="11"/>
      <c r="AG82" s="11"/>
    </row>
    <row r="83" spans="1:33" ht="15">
      <c r="A83" s="81"/>
      <c r="B83" s="97"/>
      <c r="C83" s="98"/>
      <c r="D83" s="95"/>
      <c r="E83" s="96"/>
      <c r="F83" s="87" t="s">
        <v>235</v>
      </c>
      <c r="G83" s="88" t="s">
        <v>3</v>
      </c>
      <c r="H83" s="88">
        <v>0.4</v>
      </c>
      <c r="I83" s="89">
        <v>398329.92</v>
      </c>
      <c r="J83" s="76"/>
      <c r="K83" s="76"/>
      <c r="L83" s="87" t="s">
        <v>115</v>
      </c>
      <c r="M83" s="90">
        <v>0.4</v>
      </c>
      <c r="N83" s="88" t="s">
        <v>3</v>
      </c>
      <c r="O83" s="89">
        <v>689170.02</v>
      </c>
      <c r="P83" s="76"/>
      <c r="Q83" s="76"/>
      <c r="R83" s="91" t="s">
        <v>202</v>
      </c>
      <c r="S83" s="92" t="s">
        <v>17</v>
      </c>
      <c r="T83" s="93">
        <v>6091.93</v>
      </c>
      <c r="U83" s="76"/>
      <c r="V83" s="78"/>
      <c r="W83" s="78"/>
      <c r="X83" s="141"/>
      <c r="Y83" s="141"/>
      <c r="Z83" s="141"/>
      <c r="AA83" s="141"/>
      <c r="AB83" s="141"/>
      <c r="AC83" s="141"/>
      <c r="AD83" s="141"/>
      <c r="AE83" s="141"/>
      <c r="AF83" s="11"/>
      <c r="AG83" s="11"/>
    </row>
    <row r="84" spans="1:33" ht="15">
      <c r="A84" s="81"/>
      <c r="B84" s="97"/>
      <c r="C84" s="98"/>
      <c r="D84" s="95"/>
      <c r="E84" s="96"/>
      <c r="F84" s="87" t="s">
        <v>236</v>
      </c>
      <c r="G84" s="88" t="s">
        <v>3</v>
      </c>
      <c r="H84" s="88">
        <v>0.4</v>
      </c>
      <c r="I84" s="89">
        <v>483459.84</v>
      </c>
      <c r="J84" s="76"/>
      <c r="K84" s="76"/>
      <c r="L84" s="87" t="s">
        <v>116</v>
      </c>
      <c r="M84" s="90">
        <v>0.4</v>
      </c>
      <c r="N84" s="88" t="s">
        <v>3</v>
      </c>
      <c r="O84" s="89">
        <v>811494.06</v>
      </c>
      <c r="P84" s="76"/>
      <c r="Q84" s="76"/>
      <c r="R84" s="91" t="s">
        <v>204</v>
      </c>
      <c r="S84" s="92" t="s">
        <v>17</v>
      </c>
      <c r="T84" s="93">
        <v>4321.7</v>
      </c>
      <c r="U84" s="76"/>
      <c r="V84" s="78"/>
      <c r="W84" s="78"/>
      <c r="X84" s="141"/>
      <c r="Y84" s="141"/>
      <c r="Z84" s="141"/>
      <c r="AA84" s="141"/>
      <c r="AB84" s="141"/>
      <c r="AC84" s="141"/>
      <c r="AD84" s="141"/>
      <c r="AE84" s="141"/>
      <c r="AF84" s="11"/>
      <c r="AG84" s="11"/>
    </row>
    <row r="85" spans="1:33" ht="15">
      <c r="A85" s="81"/>
      <c r="B85" s="97"/>
      <c r="C85" s="98"/>
      <c r="D85" s="95"/>
      <c r="E85" s="96"/>
      <c r="F85" s="87" t="s">
        <v>237</v>
      </c>
      <c r="G85" s="88" t="s">
        <v>3</v>
      </c>
      <c r="H85" s="88">
        <v>0.4</v>
      </c>
      <c r="I85" s="89">
        <v>579947.04</v>
      </c>
      <c r="J85" s="76"/>
      <c r="K85" s="76"/>
      <c r="L85" s="87" t="s">
        <v>117</v>
      </c>
      <c r="M85" s="90">
        <v>0.4</v>
      </c>
      <c r="N85" s="88" t="s">
        <v>3</v>
      </c>
      <c r="O85" s="89">
        <v>814309.78</v>
      </c>
      <c r="P85" s="76"/>
      <c r="Q85" s="76"/>
      <c r="R85" s="91" t="s">
        <v>205</v>
      </c>
      <c r="S85" s="92" t="s">
        <v>17</v>
      </c>
      <c r="T85" s="93">
        <v>3198.3</v>
      </c>
      <c r="U85" s="76"/>
      <c r="V85" s="78"/>
      <c r="W85" s="78"/>
      <c r="X85" s="141"/>
      <c r="Y85" s="141"/>
      <c r="Z85" s="141"/>
      <c r="AA85" s="141"/>
      <c r="AB85" s="141"/>
      <c r="AC85" s="141"/>
      <c r="AD85" s="141"/>
      <c r="AE85" s="141"/>
      <c r="AF85" s="11"/>
      <c r="AG85" s="11"/>
    </row>
    <row r="86" spans="1:33" ht="30" customHeight="1">
      <c r="A86" s="72"/>
      <c r="B86" s="72"/>
      <c r="C86" s="71"/>
      <c r="D86" s="95"/>
      <c r="E86" s="96"/>
      <c r="F86" s="87" t="s">
        <v>24</v>
      </c>
      <c r="G86" s="88"/>
      <c r="H86" s="88"/>
      <c r="I86" s="89"/>
      <c r="J86" s="76"/>
      <c r="K86" s="76"/>
      <c r="L86" s="87" t="s">
        <v>118</v>
      </c>
      <c r="M86" s="90">
        <v>0.4</v>
      </c>
      <c r="N86" s="88" t="s">
        <v>3</v>
      </c>
      <c r="O86" s="89">
        <v>874134.42</v>
      </c>
      <c r="P86" s="76"/>
      <c r="Q86" s="76"/>
      <c r="R86" s="91" t="s">
        <v>206</v>
      </c>
      <c r="S86" s="92" t="s">
        <v>17</v>
      </c>
      <c r="T86" s="93">
        <v>2230.86</v>
      </c>
      <c r="U86" s="76"/>
      <c r="V86" s="78"/>
      <c r="W86" s="78"/>
      <c r="X86" s="134" t="s">
        <v>284</v>
      </c>
      <c r="Y86" s="135"/>
      <c r="Z86" s="135"/>
      <c r="AA86" s="135"/>
      <c r="AB86" s="135"/>
      <c r="AC86" s="135"/>
      <c r="AD86" s="135"/>
      <c r="AE86" s="135"/>
      <c r="AF86" s="11"/>
      <c r="AG86" s="11"/>
    </row>
    <row r="87" spans="1:33" ht="15">
      <c r="A87" s="72"/>
      <c r="B87" s="72"/>
      <c r="C87" s="71"/>
      <c r="D87" s="95"/>
      <c r="E87" s="96"/>
      <c r="F87" s="87" t="s">
        <v>138</v>
      </c>
      <c r="G87" s="88" t="s">
        <v>3</v>
      </c>
      <c r="H87" s="88" t="s">
        <v>0</v>
      </c>
      <c r="I87" s="89">
        <v>1047323.52</v>
      </c>
      <c r="J87" s="76"/>
      <c r="K87" s="76"/>
      <c r="L87" s="87" t="s">
        <v>119</v>
      </c>
      <c r="M87" s="90">
        <v>0.4</v>
      </c>
      <c r="N87" s="88" t="s">
        <v>3</v>
      </c>
      <c r="O87" s="89">
        <v>1006400.01</v>
      </c>
      <c r="P87" s="76"/>
      <c r="Q87" s="76"/>
      <c r="R87" s="91" t="s">
        <v>207</v>
      </c>
      <c r="S87" s="92" t="s">
        <v>17</v>
      </c>
      <c r="T87" s="93">
        <v>12292.21</v>
      </c>
      <c r="U87" s="76"/>
      <c r="V87" s="78"/>
      <c r="W87" s="78"/>
      <c r="X87" s="134" t="s">
        <v>285</v>
      </c>
      <c r="Y87" s="135"/>
      <c r="Z87" s="135"/>
      <c r="AA87" s="135"/>
      <c r="AB87" s="135"/>
      <c r="AC87" s="135"/>
      <c r="AD87" s="135"/>
      <c r="AE87" s="135"/>
      <c r="AF87" s="11"/>
      <c r="AG87" s="11"/>
    </row>
    <row r="88" spans="1:31" ht="15">
      <c r="A88" s="72"/>
      <c r="B88" s="72"/>
      <c r="C88" s="71"/>
      <c r="D88" s="95"/>
      <c r="E88" s="96"/>
      <c r="F88" s="87" t="s">
        <v>139</v>
      </c>
      <c r="G88" s="88" t="s">
        <v>3</v>
      </c>
      <c r="H88" s="88" t="s">
        <v>0</v>
      </c>
      <c r="I88" s="89">
        <v>1114668</v>
      </c>
      <c r="J88" s="76"/>
      <c r="K88" s="76"/>
      <c r="L88" s="87" t="s">
        <v>120</v>
      </c>
      <c r="M88" s="90">
        <v>0.4</v>
      </c>
      <c r="N88" s="88" t="s">
        <v>3</v>
      </c>
      <c r="O88" s="89">
        <v>1059505.65</v>
      </c>
      <c r="P88" s="76"/>
      <c r="Q88" s="76"/>
      <c r="R88" s="91" t="s">
        <v>208</v>
      </c>
      <c r="S88" s="92" t="s">
        <v>17</v>
      </c>
      <c r="T88" s="93">
        <v>7810.57</v>
      </c>
      <c r="U88" s="76"/>
      <c r="V88" s="78"/>
      <c r="W88" s="78"/>
      <c r="X88" s="138"/>
      <c r="Y88" s="138"/>
      <c r="Z88" s="138"/>
      <c r="AA88" s="138"/>
      <c r="AB88" s="138"/>
      <c r="AC88" s="138"/>
      <c r="AD88" s="138"/>
      <c r="AE88" s="138"/>
    </row>
    <row r="89" spans="1:27" ht="15">
      <c r="A89" s="71"/>
      <c r="B89" s="97"/>
      <c r="C89" s="98"/>
      <c r="D89" s="95"/>
      <c r="E89" s="96"/>
      <c r="F89" s="87" t="s">
        <v>140</v>
      </c>
      <c r="G89" s="88" t="s">
        <v>3</v>
      </c>
      <c r="H89" s="88" t="s">
        <v>0</v>
      </c>
      <c r="I89" s="89">
        <v>1179545.76</v>
      </c>
      <c r="J89" s="76"/>
      <c r="K89" s="76"/>
      <c r="L89" s="87" t="s">
        <v>121</v>
      </c>
      <c r="M89" s="90">
        <v>0.4</v>
      </c>
      <c r="N89" s="88" t="s">
        <v>3</v>
      </c>
      <c r="O89" s="89">
        <v>839725.77</v>
      </c>
      <c r="P89" s="76"/>
      <c r="Q89" s="76"/>
      <c r="R89" s="91" t="s">
        <v>209</v>
      </c>
      <c r="S89" s="92" t="s">
        <v>17</v>
      </c>
      <c r="T89" s="93">
        <v>5859.78</v>
      </c>
      <c r="U89" s="76"/>
      <c r="V89" s="78"/>
      <c r="W89" s="78"/>
      <c r="Y89" s="51"/>
      <c r="Z89" s="52"/>
      <c r="AA89" s="53"/>
    </row>
    <row r="90" spans="1:23" ht="15">
      <c r="A90" s="81"/>
      <c r="B90" s="97"/>
      <c r="C90" s="98"/>
      <c r="D90" s="95"/>
      <c r="E90" s="96"/>
      <c r="F90" s="87" t="s">
        <v>141</v>
      </c>
      <c r="G90" s="88" t="s">
        <v>3</v>
      </c>
      <c r="H90" s="88" t="s">
        <v>0</v>
      </c>
      <c r="I90" s="89">
        <v>1289822.4</v>
      </c>
      <c r="J90" s="76"/>
      <c r="K90" s="76"/>
      <c r="L90" s="87" t="s">
        <v>122</v>
      </c>
      <c r="M90" s="90">
        <v>0.4</v>
      </c>
      <c r="N90" s="88" t="s">
        <v>3</v>
      </c>
      <c r="O90" s="89">
        <v>982385.58</v>
      </c>
      <c r="P90" s="76"/>
      <c r="Q90" s="76"/>
      <c r="R90" s="91" t="s">
        <v>210</v>
      </c>
      <c r="S90" s="92" t="s">
        <v>17</v>
      </c>
      <c r="T90" s="93">
        <v>4165.84</v>
      </c>
      <c r="U90" s="76"/>
      <c r="V90" s="78"/>
      <c r="W90" s="78"/>
    </row>
    <row r="91" spans="1:23" ht="15">
      <c r="A91" s="81"/>
      <c r="B91" s="97"/>
      <c r="C91" s="98"/>
      <c r="D91" s="95"/>
      <c r="E91" s="96"/>
      <c r="F91" s="87" t="s">
        <v>142</v>
      </c>
      <c r="G91" s="88" t="s">
        <v>3</v>
      </c>
      <c r="H91" s="88" t="s">
        <v>0</v>
      </c>
      <c r="I91" s="89">
        <v>1377293.76</v>
      </c>
      <c r="J91" s="76"/>
      <c r="K91" s="76"/>
      <c r="L91" s="87" t="s">
        <v>123</v>
      </c>
      <c r="M91" s="90">
        <v>0.4</v>
      </c>
      <c r="N91" s="88" t="s">
        <v>3</v>
      </c>
      <c r="O91" s="89">
        <v>1221790.71</v>
      </c>
      <c r="P91" s="76"/>
      <c r="Q91" s="76"/>
      <c r="R91" s="91" t="s">
        <v>211</v>
      </c>
      <c r="S91" s="92" t="s">
        <v>17</v>
      </c>
      <c r="T91" s="93">
        <v>9349.11</v>
      </c>
      <c r="U91" s="76"/>
      <c r="V91" s="78"/>
      <c r="W91" s="78"/>
    </row>
    <row r="92" spans="1:23" ht="15">
      <c r="A92" s="81"/>
      <c r="B92" s="97"/>
      <c r="C92" s="98"/>
      <c r="D92" s="95"/>
      <c r="E92" s="96"/>
      <c r="F92" s="87" t="s">
        <v>143</v>
      </c>
      <c r="G92" s="88" t="s">
        <v>3</v>
      </c>
      <c r="H92" s="88" t="s">
        <v>0</v>
      </c>
      <c r="I92" s="89">
        <v>1562868</v>
      </c>
      <c r="J92" s="76"/>
      <c r="K92" s="76"/>
      <c r="L92" s="87" t="s">
        <v>124</v>
      </c>
      <c r="M92" s="90">
        <v>0.4</v>
      </c>
      <c r="N92" s="88" t="s">
        <v>3</v>
      </c>
      <c r="O92" s="89">
        <v>1542746.46</v>
      </c>
      <c r="P92" s="76"/>
      <c r="Q92" s="76"/>
      <c r="R92" s="91" t="s">
        <v>212</v>
      </c>
      <c r="S92" s="92" t="s">
        <v>17</v>
      </c>
      <c r="T92" s="93">
        <v>6182.24</v>
      </c>
      <c r="U92" s="76"/>
      <c r="V92" s="78"/>
      <c r="W92" s="78"/>
    </row>
    <row r="93" spans="1:23" ht="15">
      <c r="A93" s="81"/>
      <c r="B93" s="97"/>
      <c r="C93" s="98"/>
      <c r="D93" s="95"/>
      <c r="E93" s="96"/>
      <c r="F93" s="87" t="s">
        <v>144</v>
      </c>
      <c r="G93" s="88" t="s">
        <v>3</v>
      </c>
      <c r="H93" s="88" t="s">
        <v>0</v>
      </c>
      <c r="I93" s="89">
        <v>1782168.48</v>
      </c>
      <c r="J93" s="76"/>
      <c r="K93" s="76"/>
      <c r="L93" s="87" t="s">
        <v>125</v>
      </c>
      <c r="M93" s="90">
        <v>0.4</v>
      </c>
      <c r="N93" s="88" t="s">
        <v>3</v>
      </c>
      <c r="O93" s="89">
        <v>1575091.05</v>
      </c>
      <c r="P93" s="76"/>
      <c r="Q93" s="76"/>
      <c r="R93" s="91" t="s">
        <v>213</v>
      </c>
      <c r="S93" s="92" t="s">
        <v>17</v>
      </c>
      <c r="T93" s="93">
        <v>4159.53</v>
      </c>
      <c r="U93" s="76"/>
      <c r="V93" s="78"/>
      <c r="W93" s="78"/>
    </row>
    <row r="94" spans="1:23" ht="15">
      <c r="A94" s="71"/>
      <c r="B94" s="71"/>
      <c r="C94" s="71"/>
      <c r="D94" s="95"/>
      <c r="E94" s="96"/>
      <c r="F94" s="87" t="s">
        <v>145</v>
      </c>
      <c r="G94" s="88" t="s">
        <v>3</v>
      </c>
      <c r="H94" s="88" t="s">
        <v>0</v>
      </c>
      <c r="I94" s="89">
        <v>1956601.44</v>
      </c>
      <c r="J94" s="76"/>
      <c r="K94" s="76"/>
      <c r="L94" s="87" t="s">
        <v>126</v>
      </c>
      <c r="M94" s="90">
        <v>0.4</v>
      </c>
      <c r="N94" s="88" t="s">
        <v>3</v>
      </c>
      <c r="O94" s="89">
        <v>1716100.62</v>
      </c>
      <c r="P94" s="76"/>
      <c r="Q94" s="76"/>
      <c r="R94" s="91" t="s">
        <v>214</v>
      </c>
      <c r="S94" s="92" t="s">
        <v>17</v>
      </c>
      <c r="T94" s="93">
        <v>7980.24</v>
      </c>
      <c r="U94" s="76"/>
      <c r="V94" s="78"/>
      <c r="W94" s="78"/>
    </row>
    <row r="95" spans="1:23" ht="15">
      <c r="A95" s="71"/>
      <c r="B95" s="71"/>
      <c r="C95" s="71"/>
      <c r="D95" s="95"/>
      <c r="E95" s="96"/>
      <c r="F95" s="87" t="s">
        <v>146</v>
      </c>
      <c r="G95" s="88" t="s">
        <v>3</v>
      </c>
      <c r="H95" s="88" t="s">
        <v>0</v>
      </c>
      <c r="I95" s="89">
        <v>653177.76</v>
      </c>
      <c r="J95" s="76"/>
      <c r="K95" s="76"/>
      <c r="L95" s="87" t="s">
        <v>127</v>
      </c>
      <c r="M95" s="90">
        <v>0.4</v>
      </c>
      <c r="N95" s="88" t="s">
        <v>3</v>
      </c>
      <c r="O95" s="89">
        <v>2097959.28</v>
      </c>
      <c r="P95" s="76"/>
      <c r="Q95" s="76"/>
      <c r="U95" s="76"/>
      <c r="V95" s="78"/>
      <c r="W95" s="78"/>
    </row>
    <row r="96" spans="1:23" ht="15">
      <c r="A96" s="78"/>
      <c r="B96" s="78"/>
      <c r="C96" s="78"/>
      <c r="D96" s="78"/>
      <c r="E96" s="78"/>
      <c r="F96" s="87" t="s">
        <v>250</v>
      </c>
      <c r="G96" s="88" t="s">
        <v>3</v>
      </c>
      <c r="H96" s="88" t="s">
        <v>0</v>
      </c>
      <c r="I96" s="89">
        <v>724075.2</v>
      </c>
      <c r="J96" s="76"/>
      <c r="K96" s="76"/>
      <c r="L96" s="99" t="s">
        <v>264</v>
      </c>
      <c r="M96" s="90">
        <v>0.4</v>
      </c>
      <c r="N96" s="88" t="s">
        <v>3</v>
      </c>
      <c r="O96" s="127">
        <v>2237221.2</v>
      </c>
      <c r="P96" s="76"/>
      <c r="Q96" s="76"/>
      <c r="U96" s="76"/>
      <c r="V96" s="78"/>
      <c r="W96" s="78"/>
    </row>
    <row r="97" spans="1:23" ht="15">
      <c r="A97" s="78"/>
      <c r="B97" s="78"/>
      <c r="C97" s="78"/>
      <c r="D97" s="78"/>
      <c r="E97" s="78"/>
      <c r="F97" s="87" t="s">
        <v>147</v>
      </c>
      <c r="G97" s="88" t="s">
        <v>3</v>
      </c>
      <c r="H97" s="88" t="s">
        <v>0</v>
      </c>
      <c r="I97" s="89">
        <v>767642.4</v>
      </c>
      <c r="J97" s="76"/>
      <c r="K97" s="76"/>
      <c r="L97" s="82" t="s">
        <v>24</v>
      </c>
      <c r="M97" s="88"/>
      <c r="N97" s="88"/>
      <c r="O97" s="89"/>
      <c r="P97" s="76"/>
      <c r="Q97" s="76"/>
      <c r="U97" s="76"/>
      <c r="V97" s="78"/>
      <c r="W97" s="78"/>
    </row>
    <row r="98" spans="1:23" ht="15">
      <c r="A98" s="78"/>
      <c r="B98" s="78"/>
      <c r="C98" s="78"/>
      <c r="D98" s="78"/>
      <c r="E98" s="78"/>
      <c r="F98" s="87" t="s">
        <v>148</v>
      </c>
      <c r="G98" s="88" t="s">
        <v>3</v>
      </c>
      <c r="H98" s="88" t="s">
        <v>0</v>
      </c>
      <c r="I98" s="89">
        <v>857947.68</v>
      </c>
      <c r="J98" s="76"/>
      <c r="K98" s="76"/>
      <c r="L98" s="87" t="s">
        <v>152</v>
      </c>
      <c r="M98" s="88" t="s">
        <v>0</v>
      </c>
      <c r="N98" s="88" t="s">
        <v>3</v>
      </c>
      <c r="O98" s="89">
        <v>1285147.32</v>
      </c>
      <c r="P98" s="76"/>
      <c r="Q98" s="76"/>
      <c r="U98" s="76"/>
      <c r="V98" s="78"/>
      <c r="W98" s="78"/>
    </row>
    <row r="99" spans="1:23" ht="15">
      <c r="A99" s="78"/>
      <c r="B99" s="78"/>
      <c r="C99" s="78"/>
      <c r="D99" s="78"/>
      <c r="E99" s="78"/>
      <c r="F99" s="87" t="s">
        <v>149</v>
      </c>
      <c r="G99" s="88" t="s">
        <v>3</v>
      </c>
      <c r="H99" s="88" t="s">
        <v>0</v>
      </c>
      <c r="I99" s="89">
        <v>944805.6</v>
      </c>
      <c r="J99" s="76"/>
      <c r="K99" s="76"/>
      <c r="L99" s="87" t="s">
        <v>153</v>
      </c>
      <c r="M99" s="88" t="s">
        <v>0</v>
      </c>
      <c r="N99" s="88" t="s">
        <v>3</v>
      </c>
      <c r="O99" s="89">
        <v>2159585.43</v>
      </c>
      <c r="P99" s="76"/>
      <c r="Q99" s="76"/>
      <c r="U99" s="76"/>
      <c r="V99" s="78"/>
      <c r="W99" s="78"/>
    </row>
    <row r="100" spans="1:23" ht="15">
      <c r="A100" s="78"/>
      <c r="B100" s="78"/>
      <c r="C100" s="78"/>
      <c r="D100" s="78"/>
      <c r="E100" s="78"/>
      <c r="F100" s="87" t="s">
        <v>150</v>
      </c>
      <c r="G100" s="88" t="s">
        <v>3</v>
      </c>
      <c r="H100" s="88" t="s">
        <v>0</v>
      </c>
      <c r="I100" s="89">
        <v>1376896.32</v>
      </c>
      <c r="J100" s="76"/>
      <c r="K100" s="76"/>
      <c r="L100" s="87" t="s">
        <v>154</v>
      </c>
      <c r="M100" s="88" t="s">
        <v>0</v>
      </c>
      <c r="N100" s="88" t="s">
        <v>3</v>
      </c>
      <c r="O100" s="89">
        <v>1370942.61</v>
      </c>
      <c r="P100" s="76"/>
      <c r="Q100" s="76"/>
      <c r="U100" s="76"/>
      <c r="V100" s="78"/>
      <c r="W100" s="78"/>
    </row>
    <row r="101" spans="1:23" ht="15">
      <c r="A101" s="78"/>
      <c r="B101" s="78"/>
      <c r="C101" s="78"/>
      <c r="D101" s="78"/>
      <c r="E101" s="78"/>
      <c r="F101" s="87" t="s">
        <v>151</v>
      </c>
      <c r="G101" s="88" t="s">
        <v>3</v>
      </c>
      <c r="H101" s="88" t="s">
        <v>0</v>
      </c>
      <c r="I101" s="89">
        <v>607050.72</v>
      </c>
      <c r="J101" s="76"/>
      <c r="K101" s="76"/>
      <c r="L101" s="87" t="s">
        <v>155</v>
      </c>
      <c r="M101" s="88" t="s">
        <v>0</v>
      </c>
      <c r="N101" s="88" t="s">
        <v>3</v>
      </c>
      <c r="O101" s="89">
        <v>2153620.5</v>
      </c>
      <c r="P101" s="76"/>
      <c r="Q101" s="76"/>
      <c r="U101" s="76"/>
      <c r="V101" s="78"/>
      <c r="W101" s="78"/>
    </row>
    <row r="102" spans="1:23" ht="15">
      <c r="A102" s="78"/>
      <c r="B102" s="78"/>
      <c r="C102" s="78"/>
      <c r="D102" s="78"/>
      <c r="E102" s="78"/>
      <c r="F102" s="76"/>
      <c r="G102" s="76"/>
      <c r="H102" s="76"/>
      <c r="I102" s="76"/>
      <c r="J102" s="76"/>
      <c r="K102" s="76"/>
      <c r="L102" s="87" t="s">
        <v>156</v>
      </c>
      <c r="M102" s="88" t="s">
        <v>0</v>
      </c>
      <c r="N102" s="88" t="s">
        <v>3</v>
      </c>
      <c r="O102" s="89">
        <v>1452830.04</v>
      </c>
      <c r="P102" s="76"/>
      <c r="Q102" s="76"/>
      <c r="U102" s="76"/>
      <c r="V102" s="78"/>
      <c r="W102" s="78"/>
    </row>
    <row r="103" spans="1:23" ht="15">
      <c r="A103" s="78"/>
      <c r="B103" s="78"/>
      <c r="C103" s="78"/>
      <c r="D103" s="78"/>
      <c r="E103" s="78"/>
      <c r="F103" s="76"/>
      <c r="G103" s="76"/>
      <c r="H103" s="76"/>
      <c r="I103" s="76"/>
      <c r="J103" s="76"/>
      <c r="K103" s="76"/>
      <c r="L103" s="87" t="s">
        <v>157</v>
      </c>
      <c r="M103" s="88" t="s">
        <v>0</v>
      </c>
      <c r="N103" s="88" t="s">
        <v>3</v>
      </c>
      <c r="O103" s="89">
        <v>1622117.16</v>
      </c>
      <c r="P103" s="76"/>
      <c r="Q103" s="76"/>
      <c r="R103" s="132" t="s">
        <v>278</v>
      </c>
      <c r="S103" s="133"/>
      <c r="T103" s="133"/>
      <c r="U103" s="76"/>
      <c r="V103" s="78"/>
      <c r="W103" s="78"/>
    </row>
    <row r="104" spans="1:23" ht="15">
      <c r="A104" s="78"/>
      <c r="B104" s="78"/>
      <c r="C104" s="78"/>
      <c r="D104" s="78"/>
      <c r="E104" s="78"/>
      <c r="F104" s="76"/>
      <c r="G104" s="76"/>
      <c r="H104" s="76"/>
      <c r="I104" s="76"/>
      <c r="J104" s="76"/>
      <c r="K104" s="76"/>
      <c r="L104" s="87"/>
      <c r="M104" s="88"/>
      <c r="N104" s="88"/>
      <c r="O104" s="89"/>
      <c r="P104" s="76"/>
      <c r="Q104" s="76"/>
      <c r="R104" s="75" t="s">
        <v>24</v>
      </c>
      <c r="S104" s="77"/>
      <c r="T104" s="77">
        <v>0</v>
      </c>
      <c r="U104" s="76"/>
      <c r="V104" s="78"/>
      <c r="W104" s="78"/>
    </row>
    <row r="105" spans="1:23" ht="15">
      <c r="A105" s="78"/>
      <c r="B105" s="78"/>
      <c r="C105" s="78"/>
      <c r="D105" s="78"/>
      <c r="E105" s="78"/>
      <c r="F105" s="76"/>
      <c r="G105" s="76"/>
      <c r="H105" s="76"/>
      <c r="I105" s="76"/>
      <c r="J105" s="76"/>
      <c r="K105" s="76"/>
      <c r="L105" s="87" t="s">
        <v>158</v>
      </c>
      <c r="M105" s="88" t="s">
        <v>0</v>
      </c>
      <c r="N105" s="88" t="s">
        <v>3</v>
      </c>
      <c r="O105" s="89">
        <v>2833536.57</v>
      </c>
      <c r="P105" s="76"/>
      <c r="Q105" s="76"/>
      <c r="R105" s="91" t="s">
        <v>129</v>
      </c>
      <c r="S105" s="92" t="s">
        <v>279</v>
      </c>
      <c r="T105" s="93">
        <v>15546473.37</v>
      </c>
      <c r="U105" s="76"/>
      <c r="V105" s="78"/>
      <c r="W105" s="78"/>
    </row>
    <row r="106" spans="1:23" ht="15">
      <c r="A106" s="78"/>
      <c r="B106" s="78"/>
      <c r="C106" s="78"/>
      <c r="D106" s="78"/>
      <c r="E106" s="78"/>
      <c r="F106" s="76"/>
      <c r="G106" s="76"/>
      <c r="H106" s="76"/>
      <c r="I106" s="76"/>
      <c r="J106" s="76"/>
      <c r="K106" s="76"/>
      <c r="L106" s="87" t="s">
        <v>159</v>
      </c>
      <c r="M106" s="88" t="s">
        <v>0</v>
      </c>
      <c r="N106" s="88" t="s">
        <v>3</v>
      </c>
      <c r="O106" s="89">
        <v>1548572.61</v>
      </c>
      <c r="P106" s="76"/>
      <c r="Q106" s="76"/>
      <c r="R106" s="91" t="s">
        <v>130</v>
      </c>
      <c r="S106" s="92" t="s">
        <v>279</v>
      </c>
      <c r="T106" s="93">
        <v>22161651.33</v>
      </c>
      <c r="U106" s="76"/>
      <c r="V106" s="78"/>
      <c r="W106" s="78"/>
    </row>
    <row r="107" spans="1:23" ht="15">
      <c r="A107" s="78"/>
      <c r="B107" s="78"/>
      <c r="C107" s="78"/>
      <c r="D107" s="78"/>
      <c r="E107" s="78"/>
      <c r="F107" s="76"/>
      <c r="G107" s="76"/>
      <c r="H107" s="76"/>
      <c r="I107" s="76"/>
      <c r="J107" s="76"/>
      <c r="K107" s="76"/>
      <c r="L107" s="87" t="s">
        <v>160</v>
      </c>
      <c r="M107" s="88" t="s">
        <v>0</v>
      </c>
      <c r="N107" s="88" t="s">
        <v>3</v>
      </c>
      <c r="O107" s="89">
        <v>2686436.01</v>
      </c>
      <c r="P107" s="76"/>
      <c r="Q107" s="76"/>
      <c r="R107" s="101" t="s">
        <v>131</v>
      </c>
      <c r="S107" s="92" t="s">
        <v>279</v>
      </c>
      <c r="T107" s="93">
        <v>1753698.03</v>
      </c>
      <c r="U107" s="76"/>
      <c r="V107" s="78"/>
      <c r="W107" s="78"/>
    </row>
    <row r="108" spans="1:23" ht="15">
      <c r="A108" s="78"/>
      <c r="B108" s="78"/>
      <c r="C108" s="78"/>
      <c r="D108" s="78"/>
      <c r="E108" s="78"/>
      <c r="F108" s="102"/>
      <c r="G108" s="103"/>
      <c r="H108" s="104"/>
      <c r="I108" s="105"/>
      <c r="J108" s="76"/>
      <c r="K108" s="76"/>
      <c r="L108" s="87" t="s">
        <v>161</v>
      </c>
      <c r="M108" s="88" t="s">
        <v>0</v>
      </c>
      <c r="N108" s="88" t="s">
        <v>3</v>
      </c>
      <c r="O108" s="89">
        <v>1684092.84</v>
      </c>
      <c r="P108" s="76"/>
      <c r="Q108" s="76"/>
      <c r="R108" s="91" t="s">
        <v>132</v>
      </c>
      <c r="S108" s="92" t="s">
        <v>279</v>
      </c>
      <c r="T108" s="93">
        <v>7785874.05</v>
      </c>
      <c r="U108" s="76"/>
      <c r="V108" s="78"/>
      <c r="W108" s="78"/>
    </row>
    <row r="109" spans="1:23" ht="15">
      <c r="A109" s="78"/>
      <c r="B109" s="78"/>
      <c r="C109" s="78"/>
      <c r="D109" s="78"/>
      <c r="E109" s="78"/>
      <c r="F109" s="102"/>
      <c r="G109" s="103"/>
      <c r="H109" s="104"/>
      <c r="I109" s="105"/>
      <c r="J109" s="78"/>
      <c r="K109" s="78"/>
      <c r="L109" s="87" t="s">
        <v>162</v>
      </c>
      <c r="M109" s="88" t="s">
        <v>0</v>
      </c>
      <c r="N109" s="88" t="s">
        <v>3</v>
      </c>
      <c r="O109" s="89">
        <v>2975382.72</v>
      </c>
      <c r="P109" s="78"/>
      <c r="Q109" s="78"/>
      <c r="R109" s="91" t="s">
        <v>133</v>
      </c>
      <c r="S109" s="92" t="s">
        <v>279</v>
      </c>
      <c r="T109" s="93">
        <v>6456728.28</v>
      </c>
      <c r="U109" s="78"/>
      <c r="V109" s="78"/>
      <c r="W109" s="78"/>
    </row>
    <row r="110" spans="1:23" ht="15">
      <c r="A110" s="78"/>
      <c r="B110" s="78"/>
      <c r="C110" s="78"/>
      <c r="D110" s="78"/>
      <c r="E110" s="78"/>
      <c r="F110" s="102"/>
      <c r="G110" s="103"/>
      <c r="H110" s="104"/>
      <c r="I110" s="105"/>
      <c r="J110" s="78"/>
      <c r="K110" s="78"/>
      <c r="L110" s="87" t="s">
        <v>163</v>
      </c>
      <c r="M110" s="88" t="s">
        <v>0</v>
      </c>
      <c r="N110" s="88" t="s">
        <v>3</v>
      </c>
      <c r="O110" s="89">
        <v>1899403.32</v>
      </c>
      <c r="P110" s="78"/>
      <c r="Q110" s="78"/>
      <c r="R110" s="91"/>
      <c r="S110" s="92"/>
      <c r="T110" s="93"/>
      <c r="U110" s="78"/>
      <c r="V110" s="78"/>
      <c r="W110" s="78"/>
    </row>
    <row r="111" spans="1:23" ht="15">
      <c r="A111" s="78"/>
      <c r="B111" s="78"/>
      <c r="C111" s="78"/>
      <c r="D111" s="78"/>
      <c r="E111" s="78"/>
      <c r="F111" s="102"/>
      <c r="G111" s="103"/>
      <c r="H111" s="104"/>
      <c r="I111" s="105"/>
      <c r="J111" s="78"/>
      <c r="K111" s="78"/>
      <c r="L111" s="87" t="s">
        <v>164</v>
      </c>
      <c r="M111" s="88" t="s">
        <v>0</v>
      </c>
      <c r="N111" s="88" t="s">
        <v>3</v>
      </c>
      <c r="O111" s="89">
        <v>3388103.16</v>
      </c>
      <c r="P111" s="78"/>
      <c r="Q111" s="78"/>
      <c r="U111" s="78"/>
      <c r="V111" s="78"/>
      <c r="W111" s="78"/>
    </row>
    <row r="112" spans="1:23" ht="15">
      <c r="A112" s="78"/>
      <c r="B112" s="78"/>
      <c r="C112" s="78"/>
      <c r="D112" s="78"/>
      <c r="E112" s="78"/>
      <c r="F112" s="102"/>
      <c r="G112" s="103"/>
      <c r="H112" s="104"/>
      <c r="I112" s="105"/>
      <c r="J112" s="78"/>
      <c r="K112" s="78"/>
      <c r="L112" s="87" t="s">
        <v>165</v>
      </c>
      <c r="M112" s="88" t="s">
        <v>0</v>
      </c>
      <c r="N112" s="88" t="s">
        <v>3</v>
      </c>
      <c r="O112" s="89">
        <v>6113027.58</v>
      </c>
      <c r="P112" s="78"/>
      <c r="Q112" s="78"/>
      <c r="U112" s="78"/>
      <c r="V112" s="78"/>
      <c r="W112" s="78"/>
    </row>
    <row r="113" spans="1:23" ht="15">
      <c r="A113" s="78"/>
      <c r="B113" s="78"/>
      <c r="C113" s="78"/>
      <c r="D113" s="78"/>
      <c r="E113" s="78"/>
      <c r="F113" s="102"/>
      <c r="G113" s="103"/>
      <c r="H113" s="104"/>
      <c r="I113" s="105"/>
      <c r="J113" s="78"/>
      <c r="K113" s="78"/>
      <c r="L113" s="87" t="s">
        <v>166</v>
      </c>
      <c r="M113" s="88" t="s">
        <v>0</v>
      </c>
      <c r="N113" s="88" t="s">
        <v>3</v>
      </c>
      <c r="O113" s="106">
        <v>1242040.53</v>
      </c>
      <c r="P113" s="78"/>
      <c r="Q113" s="78"/>
      <c r="R113" s="72" t="s">
        <v>24</v>
      </c>
      <c r="S113" s="72"/>
      <c r="T113" s="72">
        <v>0</v>
      </c>
      <c r="U113" s="78"/>
      <c r="V113" s="78"/>
      <c r="W113" s="78"/>
    </row>
    <row r="114" spans="1:23" ht="15">
      <c r="A114" s="78"/>
      <c r="B114" s="78"/>
      <c r="C114" s="78"/>
      <c r="D114" s="78"/>
      <c r="E114" s="78"/>
      <c r="F114" s="102"/>
      <c r="G114" s="103"/>
      <c r="H114" s="104"/>
      <c r="I114" s="105"/>
      <c r="J114" s="78"/>
      <c r="K114" s="78"/>
      <c r="L114" s="87" t="s">
        <v>167</v>
      </c>
      <c r="M114" s="88" t="s">
        <v>0</v>
      </c>
      <c r="N114" s="88" t="s">
        <v>3</v>
      </c>
      <c r="O114" s="106">
        <v>1334001.3</v>
      </c>
      <c r="P114" s="78"/>
      <c r="Q114" s="78"/>
      <c r="R114" s="91" t="s">
        <v>215</v>
      </c>
      <c r="S114" s="92" t="s">
        <v>17</v>
      </c>
      <c r="T114" s="93">
        <v>4830.03</v>
      </c>
      <c r="U114" s="78"/>
      <c r="V114" s="78"/>
      <c r="W114" s="78"/>
    </row>
    <row r="115" spans="1:23" ht="15">
      <c r="A115" s="78"/>
      <c r="B115" s="78"/>
      <c r="C115" s="78"/>
      <c r="D115" s="78"/>
      <c r="E115" s="78"/>
      <c r="F115" s="102"/>
      <c r="G115" s="103"/>
      <c r="H115" s="104"/>
      <c r="I115" s="105"/>
      <c r="J115" s="78"/>
      <c r="K115" s="78"/>
      <c r="L115" s="87" t="s">
        <v>168</v>
      </c>
      <c r="M115" s="88" t="s">
        <v>0</v>
      </c>
      <c r="N115" s="88" t="s">
        <v>3</v>
      </c>
      <c r="O115" s="106">
        <v>1363430.58</v>
      </c>
      <c r="P115" s="78"/>
      <c r="Q115" s="78"/>
      <c r="R115" s="91" t="s">
        <v>216</v>
      </c>
      <c r="S115" s="92" t="s">
        <v>17</v>
      </c>
      <c r="T115" s="93">
        <v>2400.73</v>
      </c>
      <c r="U115" s="78"/>
      <c r="V115" s="78"/>
      <c r="W115" s="78"/>
    </row>
    <row r="116" spans="1:23" ht="15">
      <c r="A116" s="78"/>
      <c r="B116" s="78"/>
      <c r="C116" s="78"/>
      <c r="D116" s="78"/>
      <c r="E116" s="78"/>
      <c r="F116" s="102"/>
      <c r="G116" s="103"/>
      <c r="H116" s="104"/>
      <c r="I116" s="105"/>
      <c r="J116" s="78"/>
      <c r="K116" s="78"/>
      <c r="L116" s="87" t="s">
        <v>169</v>
      </c>
      <c r="M116" s="88" t="s">
        <v>0</v>
      </c>
      <c r="N116" s="88" t="s">
        <v>3</v>
      </c>
      <c r="O116" s="106">
        <v>1391404.44</v>
      </c>
      <c r="P116" s="78"/>
      <c r="Q116" s="78"/>
      <c r="R116" s="72"/>
      <c r="S116" s="72"/>
      <c r="T116" s="72"/>
      <c r="U116" s="78"/>
      <c r="V116" s="78"/>
      <c r="W116" s="78"/>
    </row>
    <row r="117" spans="1:23" ht="15">
      <c r="A117" s="78"/>
      <c r="B117" s="78"/>
      <c r="C117" s="78"/>
      <c r="D117" s="78"/>
      <c r="E117" s="78"/>
      <c r="F117" s="102"/>
      <c r="G117" s="103"/>
      <c r="H117" s="104"/>
      <c r="I117" s="105"/>
      <c r="J117" s="78"/>
      <c r="K117" s="78"/>
      <c r="L117" s="87" t="s">
        <v>170</v>
      </c>
      <c r="M117" s="88" t="s">
        <v>0</v>
      </c>
      <c r="N117" s="88" t="s">
        <v>3</v>
      </c>
      <c r="O117" s="106">
        <v>1474747.29</v>
      </c>
      <c r="P117" s="78"/>
      <c r="Q117" s="78"/>
      <c r="R117" s="78"/>
      <c r="S117" s="78"/>
      <c r="T117" s="78"/>
      <c r="U117" s="78"/>
      <c r="V117" s="78"/>
      <c r="W117" s="78"/>
    </row>
    <row r="118" spans="1:23" ht="15">
      <c r="A118" s="78"/>
      <c r="B118" s="78"/>
      <c r="C118" s="78"/>
      <c r="D118" s="78"/>
      <c r="E118" s="78"/>
      <c r="F118" s="102"/>
      <c r="G118" s="103"/>
      <c r="H118" s="104"/>
      <c r="I118" s="105"/>
      <c r="J118" s="78"/>
      <c r="K118" s="78"/>
      <c r="L118" s="87" t="s">
        <v>171</v>
      </c>
      <c r="M118" s="88" t="s">
        <v>0</v>
      </c>
      <c r="N118" s="88" t="s">
        <v>3</v>
      </c>
      <c r="O118" s="106">
        <v>1863436.11</v>
      </c>
      <c r="P118" s="78"/>
      <c r="Q118" s="78"/>
      <c r="R118" s="78"/>
      <c r="S118" s="78"/>
      <c r="T118" s="78"/>
      <c r="U118" s="78"/>
      <c r="V118" s="78"/>
      <c r="W118" s="78"/>
    </row>
    <row r="119" spans="1:23" ht="15">
      <c r="A119" s="78"/>
      <c r="B119" s="78"/>
      <c r="C119" s="78"/>
      <c r="D119" s="78"/>
      <c r="E119" s="78"/>
      <c r="F119" s="102"/>
      <c r="G119" s="104"/>
      <c r="H119" s="104"/>
      <c r="I119" s="105"/>
      <c r="J119" s="78"/>
      <c r="K119" s="78"/>
      <c r="L119" s="87" t="s">
        <v>172</v>
      </c>
      <c r="M119" s="88" t="s">
        <v>0</v>
      </c>
      <c r="N119" s="88" t="s">
        <v>3</v>
      </c>
      <c r="O119" s="106">
        <v>2817647.28</v>
      </c>
      <c r="P119" s="78"/>
      <c r="Q119" s="78"/>
      <c r="R119" s="78"/>
      <c r="S119" s="78"/>
      <c r="T119" s="78"/>
      <c r="U119" s="78"/>
      <c r="V119" s="78"/>
      <c r="W119" s="78"/>
    </row>
    <row r="120" spans="1:23" ht="15">
      <c r="A120" s="78"/>
      <c r="B120" s="78"/>
      <c r="C120" s="78"/>
      <c r="D120" s="78"/>
      <c r="E120" s="78"/>
      <c r="F120" s="102"/>
      <c r="G120" s="104"/>
      <c r="H120" s="104"/>
      <c r="I120" s="105"/>
      <c r="J120" s="78"/>
      <c r="K120" s="78"/>
      <c r="L120" s="87" t="s">
        <v>173</v>
      </c>
      <c r="M120" s="88" t="s">
        <v>0</v>
      </c>
      <c r="N120" s="88" t="s">
        <v>3</v>
      </c>
      <c r="O120" s="100">
        <v>1363722.81</v>
      </c>
      <c r="P120" s="78"/>
      <c r="Q120" s="78"/>
      <c r="R120" s="78"/>
      <c r="S120" s="78"/>
      <c r="T120" s="78"/>
      <c r="U120" s="78"/>
      <c r="V120" s="78"/>
      <c r="W120" s="78"/>
    </row>
    <row r="121" spans="1:23" ht="15">
      <c r="A121" s="78"/>
      <c r="B121" s="78"/>
      <c r="C121" s="78"/>
      <c r="D121" s="78"/>
      <c r="E121" s="78"/>
      <c r="F121" s="102"/>
      <c r="G121" s="104"/>
      <c r="H121" s="104"/>
      <c r="I121" s="105"/>
      <c r="J121" s="78"/>
      <c r="K121" s="78"/>
      <c r="L121" s="87" t="s">
        <v>174</v>
      </c>
      <c r="M121" s="88" t="s">
        <v>0</v>
      </c>
      <c r="N121" s="88" t="s">
        <v>3</v>
      </c>
      <c r="O121" s="100">
        <v>1446309.3</v>
      </c>
      <c r="P121" s="78"/>
      <c r="Q121" s="78"/>
      <c r="R121" s="78"/>
      <c r="S121" s="78"/>
      <c r="T121" s="78"/>
      <c r="U121" s="78"/>
      <c r="V121" s="78"/>
      <c r="W121" s="78"/>
    </row>
    <row r="122" spans="1:23" ht="15">
      <c r="A122" s="78"/>
      <c r="B122" s="78"/>
      <c r="C122" s="78"/>
      <c r="D122" s="78"/>
      <c r="E122" s="78"/>
      <c r="F122" s="102"/>
      <c r="G122" s="104"/>
      <c r="H122" s="104"/>
      <c r="I122" s="105"/>
      <c r="J122" s="78"/>
      <c r="K122" s="78"/>
      <c r="L122" s="87" t="s">
        <v>175</v>
      </c>
      <c r="M122" s="88" t="s">
        <v>0</v>
      </c>
      <c r="N122" s="88" t="s">
        <v>3</v>
      </c>
      <c r="O122" s="100">
        <v>1556772.24</v>
      </c>
      <c r="P122" s="78"/>
      <c r="Q122" s="89"/>
      <c r="R122" s="78"/>
      <c r="S122" s="78"/>
      <c r="T122" s="78"/>
      <c r="U122" s="78"/>
      <c r="V122" s="78"/>
      <c r="W122" s="78"/>
    </row>
    <row r="123" spans="1:23" ht="15">
      <c r="A123" s="78"/>
      <c r="B123" s="78"/>
      <c r="C123" s="78"/>
      <c r="D123" s="78"/>
      <c r="E123" s="78"/>
      <c r="F123" s="102"/>
      <c r="G123" s="104"/>
      <c r="H123" s="104"/>
      <c r="I123" s="105"/>
      <c r="J123" s="78"/>
      <c r="K123" s="78"/>
      <c r="L123" s="87" t="s">
        <v>176</v>
      </c>
      <c r="M123" s="88" t="s">
        <v>0</v>
      </c>
      <c r="N123" s="88" t="s">
        <v>3</v>
      </c>
      <c r="O123" s="89">
        <v>1618140.54</v>
      </c>
      <c r="P123" s="78"/>
      <c r="Q123" s="78"/>
      <c r="R123" s="78"/>
      <c r="S123" s="78"/>
      <c r="T123" s="78"/>
      <c r="U123" s="78"/>
      <c r="V123" s="78"/>
      <c r="W123" s="78"/>
    </row>
    <row r="124" spans="1:23" ht="15">
      <c r="A124" s="78"/>
      <c r="B124" s="78"/>
      <c r="C124" s="78"/>
      <c r="D124" s="78"/>
      <c r="E124" s="78"/>
      <c r="F124" s="102"/>
      <c r="G124" s="104"/>
      <c r="H124" s="104"/>
      <c r="I124" s="105"/>
      <c r="J124" s="78"/>
      <c r="K124" s="78"/>
      <c r="L124" s="87" t="s">
        <v>177</v>
      </c>
      <c r="M124" s="88" t="s">
        <v>0</v>
      </c>
      <c r="N124" s="88" t="s">
        <v>3</v>
      </c>
      <c r="O124" s="89">
        <v>1742630.52</v>
      </c>
      <c r="P124" s="78"/>
      <c r="Q124" s="78"/>
      <c r="R124" s="78"/>
      <c r="S124" s="78"/>
      <c r="T124" s="78"/>
      <c r="U124" s="78"/>
      <c r="V124" s="78"/>
      <c r="W124" s="78"/>
    </row>
    <row r="125" spans="1:23" ht="15">
      <c r="A125" s="78"/>
      <c r="B125" s="78"/>
      <c r="C125" s="78"/>
      <c r="D125" s="78"/>
      <c r="E125" s="78"/>
      <c r="F125" s="102"/>
      <c r="G125" s="104"/>
      <c r="H125" s="104"/>
      <c r="I125" s="105"/>
      <c r="J125" s="78"/>
      <c r="K125" s="78"/>
      <c r="L125" s="87" t="s">
        <v>178</v>
      </c>
      <c r="M125" s="88" t="s">
        <v>0</v>
      </c>
      <c r="N125" s="88" t="s">
        <v>3</v>
      </c>
      <c r="O125" s="89">
        <v>1803998.82</v>
      </c>
      <c r="P125" s="78"/>
      <c r="Q125" s="78"/>
      <c r="R125" s="78"/>
      <c r="S125" s="78"/>
      <c r="T125" s="78"/>
      <c r="U125" s="78"/>
      <c r="V125" s="78"/>
      <c r="W125" s="78"/>
    </row>
    <row r="126" spans="1:23" ht="15">
      <c r="A126" s="78"/>
      <c r="B126" s="78"/>
      <c r="C126" s="78"/>
      <c r="D126" s="78"/>
      <c r="E126" s="78"/>
      <c r="F126" s="102"/>
      <c r="G126" s="104"/>
      <c r="H126" s="104"/>
      <c r="I126" s="105"/>
      <c r="J126" s="78"/>
      <c r="K126" s="78"/>
      <c r="L126" s="87" t="s">
        <v>179</v>
      </c>
      <c r="M126" s="88" t="s">
        <v>0</v>
      </c>
      <c r="N126" s="88" t="s">
        <v>3</v>
      </c>
      <c r="O126" s="89">
        <v>1905694.86</v>
      </c>
      <c r="P126" s="78"/>
      <c r="Q126" s="78"/>
      <c r="R126" s="78"/>
      <c r="S126" s="78"/>
      <c r="T126" s="78"/>
      <c r="U126" s="78"/>
      <c r="V126" s="78"/>
      <c r="W126" s="78"/>
    </row>
    <row r="127" spans="1:23" ht="1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87" t="s">
        <v>180</v>
      </c>
      <c r="M127" s="88" t="s">
        <v>0</v>
      </c>
      <c r="N127" s="88" t="s">
        <v>3</v>
      </c>
      <c r="O127" s="89">
        <v>2088046.38</v>
      </c>
      <c r="P127" s="78"/>
      <c r="Q127" s="78"/>
      <c r="R127" s="78"/>
      <c r="S127" s="78"/>
      <c r="T127" s="78"/>
      <c r="U127" s="78"/>
      <c r="V127" s="78"/>
      <c r="W127" s="78"/>
    </row>
    <row r="128" spans="1:23" ht="1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87" t="s">
        <v>181</v>
      </c>
      <c r="M128" s="88" t="s">
        <v>0</v>
      </c>
      <c r="N128" s="88" t="s">
        <v>3</v>
      </c>
      <c r="O128" s="89">
        <v>2415928.44</v>
      </c>
      <c r="P128" s="78"/>
      <c r="Q128" s="78"/>
      <c r="R128" s="78"/>
      <c r="S128" s="78"/>
      <c r="T128" s="78"/>
      <c r="U128" s="78"/>
      <c r="V128" s="78"/>
      <c r="W128" s="78"/>
    </row>
    <row r="129" spans="1:23" ht="1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87" t="s">
        <v>182</v>
      </c>
      <c r="M129" s="88" t="s">
        <v>0</v>
      </c>
      <c r="N129" s="88" t="s">
        <v>3</v>
      </c>
      <c r="O129" s="89">
        <v>3315005.55</v>
      </c>
      <c r="P129" s="78"/>
      <c r="Q129" s="78"/>
      <c r="R129" s="78"/>
      <c r="S129" s="78"/>
      <c r="T129" s="78"/>
      <c r="U129" s="78"/>
      <c r="V129" s="78"/>
      <c r="W129" s="78"/>
    </row>
    <row r="130" spans="1:23" ht="1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87" t="s">
        <v>183</v>
      </c>
      <c r="M130" s="88" t="s">
        <v>0</v>
      </c>
      <c r="N130" s="88" t="s">
        <v>3</v>
      </c>
      <c r="O130" s="89">
        <v>3885616.14</v>
      </c>
      <c r="P130" s="78"/>
      <c r="Q130" s="78"/>
      <c r="R130" s="78"/>
      <c r="S130" s="78"/>
      <c r="T130" s="78"/>
      <c r="U130" s="78"/>
      <c r="V130" s="78"/>
      <c r="W130" s="78"/>
    </row>
    <row r="131" spans="1:23" ht="1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87" t="s">
        <v>184</v>
      </c>
      <c r="M131" s="88" t="s">
        <v>0</v>
      </c>
      <c r="N131" s="88" t="s">
        <v>3</v>
      </c>
      <c r="O131" s="89">
        <v>1527388.8</v>
      </c>
      <c r="P131" s="78"/>
      <c r="Q131" s="78"/>
      <c r="R131" s="78"/>
      <c r="S131" s="78"/>
      <c r="T131" s="78"/>
      <c r="U131" s="78"/>
      <c r="V131" s="78"/>
      <c r="W131" s="78"/>
    </row>
    <row r="132" spans="1:23" ht="1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87" t="s">
        <v>185</v>
      </c>
      <c r="M132" s="88" t="s">
        <v>0</v>
      </c>
      <c r="N132" s="88" t="s">
        <v>3</v>
      </c>
      <c r="O132" s="89">
        <v>1734081.36</v>
      </c>
      <c r="P132" s="78"/>
      <c r="Q132" s="78"/>
      <c r="R132" s="78"/>
      <c r="S132" s="78"/>
      <c r="T132" s="78"/>
      <c r="U132" s="78"/>
      <c r="V132" s="78"/>
      <c r="W132" s="78"/>
    </row>
    <row r="133" spans="1:23" ht="1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87" t="s">
        <v>186</v>
      </c>
      <c r="M133" s="88" t="s">
        <v>0</v>
      </c>
      <c r="N133" s="88" t="s">
        <v>3</v>
      </c>
      <c r="O133" s="89">
        <v>1986550.89</v>
      </c>
      <c r="P133" s="74"/>
      <c r="Q133" s="74"/>
      <c r="R133" s="74"/>
      <c r="S133" s="74"/>
      <c r="T133" s="74"/>
      <c r="U133" s="74"/>
      <c r="V133" s="74"/>
      <c r="W133" s="72"/>
    </row>
    <row r="134" spans="1:23" ht="1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87" t="s">
        <v>187</v>
      </c>
      <c r="M134" s="88" t="s">
        <v>0</v>
      </c>
      <c r="N134" s="88" t="s">
        <v>3</v>
      </c>
      <c r="O134" s="89">
        <v>2097311.79</v>
      </c>
      <c r="P134" s="74"/>
      <c r="Q134" s="74"/>
      <c r="R134" s="74"/>
      <c r="S134" s="74"/>
      <c r="T134" s="74"/>
      <c r="U134" s="74"/>
      <c r="V134" s="74"/>
      <c r="W134" s="72"/>
    </row>
    <row r="135" spans="1:23" ht="1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87" t="s">
        <v>188</v>
      </c>
      <c r="M135" s="88" t="s">
        <v>0</v>
      </c>
      <c r="N135" s="88" t="s">
        <v>3</v>
      </c>
      <c r="O135" s="89">
        <v>2657459.4</v>
      </c>
      <c r="P135" s="74"/>
      <c r="Q135" s="74"/>
      <c r="R135" s="74"/>
      <c r="S135" s="74"/>
      <c r="T135" s="74"/>
      <c r="U135" s="74"/>
      <c r="V135" s="74"/>
      <c r="W135" s="72"/>
    </row>
    <row r="136" spans="1:23" ht="1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87" t="s">
        <v>189</v>
      </c>
      <c r="M136" s="88" t="s">
        <v>0</v>
      </c>
      <c r="N136" s="88" t="s">
        <v>3</v>
      </c>
      <c r="O136" s="89">
        <v>2807447.88</v>
      </c>
      <c r="P136" s="74"/>
      <c r="Q136" s="74"/>
      <c r="R136" s="74"/>
      <c r="S136" s="74"/>
      <c r="T136" s="74"/>
      <c r="U136" s="74"/>
      <c r="V136" s="74"/>
      <c r="W136" s="72"/>
    </row>
    <row r="137" spans="1:23" ht="1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87" t="s">
        <v>190</v>
      </c>
      <c r="M137" s="88" t="s">
        <v>0</v>
      </c>
      <c r="N137" s="88" t="s">
        <v>3</v>
      </c>
      <c r="O137" s="89">
        <v>3320976.21</v>
      </c>
      <c r="P137" s="74"/>
      <c r="Q137" s="74"/>
      <c r="R137" s="74"/>
      <c r="S137" s="74"/>
      <c r="T137" s="74"/>
      <c r="U137" s="74"/>
      <c r="V137" s="74"/>
      <c r="W137" s="72"/>
    </row>
    <row r="138" spans="1:23" ht="1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87" t="s">
        <v>191</v>
      </c>
      <c r="M138" s="88" t="s">
        <v>0</v>
      </c>
      <c r="N138" s="88" t="s">
        <v>3</v>
      </c>
      <c r="O138" s="89">
        <v>4189151.43</v>
      </c>
      <c r="P138" s="74"/>
      <c r="Q138" s="74"/>
      <c r="R138" s="74"/>
      <c r="S138" s="74"/>
      <c r="T138" s="74"/>
      <c r="U138" s="74"/>
      <c r="V138" s="74"/>
      <c r="W138" s="72"/>
    </row>
    <row r="139" spans="1:23" ht="1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87" t="s">
        <v>192</v>
      </c>
      <c r="M139" s="88" t="s">
        <v>0</v>
      </c>
      <c r="N139" s="88" t="s">
        <v>3</v>
      </c>
      <c r="O139" s="89">
        <v>5004845.58</v>
      </c>
      <c r="P139" s="74"/>
      <c r="Q139" s="74"/>
      <c r="R139" s="74"/>
      <c r="S139" s="74"/>
      <c r="T139" s="74"/>
      <c r="U139" s="74"/>
      <c r="V139" s="74"/>
      <c r="W139" s="72"/>
    </row>
    <row r="140" spans="1:23" ht="1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87" t="s">
        <v>193</v>
      </c>
      <c r="M140" s="88" t="s">
        <v>0</v>
      </c>
      <c r="N140" s="88" t="s">
        <v>3</v>
      </c>
      <c r="O140" s="89">
        <v>5888388.66</v>
      </c>
      <c r="P140" s="74"/>
      <c r="Q140" s="74"/>
      <c r="R140" s="74"/>
      <c r="S140" s="74"/>
      <c r="T140" s="74"/>
      <c r="U140" s="74"/>
      <c r="V140" s="74"/>
      <c r="W140" s="72"/>
    </row>
    <row r="141" spans="1:23" ht="1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87" t="s">
        <v>194</v>
      </c>
      <c r="M141" s="88" t="s">
        <v>0</v>
      </c>
      <c r="N141" s="88" t="s">
        <v>3</v>
      </c>
      <c r="O141" s="89">
        <v>7031821.62</v>
      </c>
      <c r="P141" s="74"/>
      <c r="Q141" s="74"/>
      <c r="R141" s="74"/>
      <c r="S141" s="74"/>
      <c r="T141" s="74"/>
      <c r="U141" s="74"/>
      <c r="V141" s="74"/>
      <c r="W141" s="72"/>
    </row>
    <row r="142" spans="1:23" ht="1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99" t="s">
        <v>265</v>
      </c>
      <c r="M142" s="88" t="s">
        <v>0</v>
      </c>
      <c r="N142" s="88" t="s">
        <v>3</v>
      </c>
      <c r="O142" s="100">
        <v>3506301.6</v>
      </c>
      <c r="P142" s="74"/>
      <c r="Q142" s="74"/>
      <c r="R142" s="74"/>
      <c r="S142" s="74"/>
      <c r="T142" s="74"/>
      <c r="U142" s="74"/>
      <c r="V142" s="74"/>
      <c r="W142" s="72"/>
    </row>
    <row r="143" spans="1:23" ht="1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2"/>
    </row>
    <row r="144" spans="1:23" ht="1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2"/>
    </row>
    <row r="145" spans="1:23" ht="1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2"/>
    </row>
    <row r="146" spans="1:23" ht="1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2"/>
    </row>
    <row r="147" spans="1:23" ht="1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2"/>
    </row>
    <row r="148" spans="1:23" ht="1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2"/>
    </row>
    <row r="149" spans="1:23" ht="1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2"/>
    </row>
    <row r="150" spans="1:22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1:22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1:22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1:22" ht="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1:22" ht="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1:22" ht="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1:22" ht="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1:22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1:22" ht="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1:22" ht="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1:22" ht="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1:22" ht="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1:22" ht="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1:22" ht="1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1:22" ht="1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ht="1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1:22" ht="1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 spans="1:22" ht="1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22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1:22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 spans="1:22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1:22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1:22" ht="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ht="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1:22" ht="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1:22" ht="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 spans="1:22" ht="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 spans="1:22" ht="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 spans="1:22" ht="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 spans="1:22" ht="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 spans="1:22" ht="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ht="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 spans="1:22" ht="1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1:22" ht="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1:22" ht="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ht="1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 spans="1:22" ht="1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</row>
    <row r="187" spans="1:22" ht="1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</row>
    <row r="188" spans="1:22" ht="1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ht="1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</row>
    <row r="190" spans="1:22" ht="1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</row>
    <row r="191" spans="1:22" ht="1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</row>
    <row r="192" spans="1:22" ht="1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ht="1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</row>
    <row r="194" spans="1:22" ht="1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</row>
    <row r="195" spans="1:22" ht="1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</row>
    <row r="196" spans="1:22" ht="1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</row>
    <row r="197" spans="1:22" ht="1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</row>
    <row r="198" spans="1:22" ht="1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</row>
    <row r="199" spans="1:22" ht="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</row>
    <row r="200" spans="1:22" ht="1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ht="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</row>
    <row r="202" spans="1:22" ht="1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</row>
    <row r="203" spans="1:22" ht="1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</row>
    <row r="204" spans="1:22" ht="1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ht="1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</row>
    <row r="206" spans="1:22" ht="1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</row>
    <row r="207" spans="1:22" ht="1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</row>
    <row r="208" spans="1:22" ht="1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</row>
    <row r="209" spans="1:22" ht="1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</row>
    <row r="210" spans="1:22" ht="1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1:22" ht="1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1:22" ht="1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1:22" ht="1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1:22" ht="1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</row>
  </sheetData>
  <sheetProtection password="CA9C" sheet="1" objects="1" scenarios="1"/>
  <mergeCells count="35">
    <mergeCell ref="A1:E1"/>
    <mergeCell ref="F1:I1"/>
    <mergeCell ref="L1:O1"/>
    <mergeCell ref="R1:T1"/>
    <mergeCell ref="X1:AG1"/>
    <mergeCell ref="Y35:AA35"/>
    <mergeCell ref="X9:Z9"/>
    <mergeCell ref="X8:Z8"/>
    <mergeCell ref="X2:AG2"/>
    <mergeCell ref="AD16:AG16"/>
    <mergeCell ref="AD37:AF37"/>
    <mergeCell ref="X15:Z15"/>
    <mergeCell ref="X14:Z14"/>
    <mergeCell ref="X16:Z16"/>
    <mergeCell ref="X11:Z11"/>
    <mergeCell ref="X10:Z10"/>
    <mergeCell ref="X12:Z12"/>
    <mergeCell ref="X13:Z13"/>
    <mergeCell ref="X53:AG53"/>
    <mergeCell ref="X55:AE85"/>
    <mergeCell ref="X40:AG40"/>
    <mergeCell ref="X41:AG41"/>
    <mergeCell ref="AE35:AF35"/>
    <mergeCell ref="X52:AG52"/>
    <mergeCell ref="X42:AG42"/>
    <mergeCell ref="X43:AG43"/>
    <mergeCell ref="X39:AG39"/>
    <mergeCell ref="Y37:AA37"/>
    <mergeCell ref="R103:T103"/>
    <mergeCell ref="X86:AE86"/>
    <mergeCell ref="A61:E61"/>
    <mergeCell ref="F61:I61"/>
    <mergeCell ref="L61:O61"/>
    <mergeCell ref="R61:T61"/>
    <mergeCell ref="X87:AE88"/>
  </mergeCells>
  <dataValidations count="12">
    <dataValidation type="list" allowBlank="1" showInputMessage="1" showErrorMessage="1" sqref="F50">
      <formula1>$L$19:$L$22</formula1>
    </dataValidation>
    <dataValidation type="list" allowBlank="1" showInputMessage="1" showErrorMessage="1" sqref="Z21">
      <formula1>$F$62:$F$85</formula1>
    </dataValidation>
    <dataValidation type="list" allowBlank="1" showInputMessage="1" showErrorMessage="1" sqref="Z20">
      <formula1>$F$86:$F$101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Z19">
      <formula1>$A$62:$A$66</formula1>
    </dataValidation>
    <dataValidation type="list" allowBlank="1" showInputMessage="1" showErrorMessage="1" sqref="Z24:Z25">
      <formula1>$L$62:$L$96</formula1>
    </dataValidation>
    <dataValidation type="list" allowBlank="1" showInputMessage="1" showErrorMessage="1" sqref="Z22:Z23">
      <formula1>$L$97:$L$142</formula1>
    </dataValidation>
    <dataValidation type="list" allowBlank="1" showInputMessage="1" showErrorMessage="1" sqref="Z18">
      <formula1>$A$67:$A$71</formula1>
    </dataValidation>
    <dataValidation type="list" allowBlank="1" showInputMessage="1" showErrorMessage="1" sqref="Z27">
      <formula1>$R$62:$R$94</formula1>
    </dataValidation>
    <dataValidation type="list" allowBlank="1" showInputMessage="1" showErrorMessage="1" sqref="R105:R109 T105:T109">
      <formula1>$T$105:$T$109</formula1>
    </dataValidation>
    <dataValidation type="list" allowBlank="1" showInputMessage="1" showErrorMessage="1" sqref="Z26">
      <formula1>$R$104:$R$109</formula1>
    </dataValidation>
    <dataValidation type="list" allowBlank="1" showInputMessage="1" showErrorMessage="1" sqref="Z28">
      <formula1>$R$113:$R$115</formula1>
    </dataValidation>
  </dataValidations>
  <printOptions/>
  <pageMargins left="0.5905511811023623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9" tint="0.5999900102615356"/>
    <pageSetUpPr fitToPage="1"/>
  </sheetPr>
  <dimension ref="A1:AF152"/>
  <sheetViews>
    <sheetView tabSelected="1" zoomScale="90" zoomScaleNormal="90" zoomScalePageLayoutView="0" workbookViewId="0" topLeftCell="A10">
      <selection activeCell="H18" sqref="H18:J18"/>
    </sheetView>
  </sheetViews>
  <sheetFormatPr defaultColWidth="9.140625" defaultRowHeight="15"/>
  <cols>
    <col min="1" max="1" width="2.28125" style="33" customWidth="1"/>
    <col min="2" max="2" width="8.140625" style="33" customWidth="1"/>
    <col min="3" max="3" width="21.28125" style="33" customWidth="1"/>
    <col min="4" max="4" width="31.28125" style="33" customWidth="1"/>
    <col min="5" max="5" width="11.140625" style="33" customWidth="1"/>
    <col min="6" max="6" width="8.140625" style="33" customWidth="1"/>
    <col min="7" max="7" width="1.57421875" style="33" hidden="1" customWidth="1"/>
    <col min="8" max="8" width="0.71875" style="33" hidden="1" customWidth="1"/>
    <col min="9" max="9" width="6.57421875" style="33" customWidth="1"/>
    <col min="10" max="10" width="9.421875" style="33" customWidth="1"/>
    <col min="11" max="11" width="4.7109375" style="33" customWidth="1"/>
    <col min="12" max="12" width="2.421875" style="33" customWidth="1"/>
    <col min="13" max="13" width="2.28125" style="33" customWidth="1"/>
    <col min="14" max="14" width="4.8515625" style="33" customWidth="1"/>
    <col min="15" max="15" width="6.421875" style="33" customWidth="1"/>
    <col min="16" max="16" width="5.8515625" style="33" customWidth="1"/>
    <col min="17" max="17" width="3.7109375" style="33" customWidth="1"/>
    <col min="18" max="18" width="4.140625" style="33" customWidth="1"/>
    <col min="19" max="19" width="5.7109375" style="33" customWidth="1"/>
    <col min="20" max="20" width="2.7109375" style="33" customWidth="1"/>
    <col min="21" max="21" width="12.8515625" style="33" hidden="1" customWidth="1"/>
    <col min="22" max="22" width="9.140625" style="33" hidden="1" customWidth="1"/>
    <col min="23" max="23" width="29.140625" style="33" hidden="1" customWidth="1"/>
    <col min="24" max="24" width="20.57421875" style="33" hidden="1" customWidth="1"/>
    <col min="25" max="25" width="16.140625" style="33" hidden="1" customWidth="1"/>
    <col min="26" max="26" width="9.140625" style="33" hidden="1" customWidth="1"/>
    <col min="27" max="27" width="38.57421875" style="33" hidden="1" customWidth="1"/>
    <col min="28" max="28" width="9.140625" style="33" hidden="1" customWidth="1"/>
    <col min="29" max="29" width="12.28125" style="33" hidden="1" customWidth="1"/>
    <col min="30" max="30" width="19.8515625" style="33" hidden="1" customWidth="1"/>
    <col min="31" max="38" width="9.140625" style="33" customWidth="1"/>
    <col min="39" max="16384" width="9.140625" style="33" customWidth="1"/>
  </cols>
  <sheetData>
    <row r="1" spans="1:18" ht="15.75">
      <c r="A1" s="151" t="s">
        <v>268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12"/>
      <c r="O1" s="113"/>
      <c r="P1" s="113"/>
      <c r="Q1" s="35"/>
      <c r="R1" s="35"/>
    </row>
    <row r="2" spans="1:18" ht="24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12"/>
      <c r="O2" s="114"/>
      <c r="P2" s="114"/>
      <c r="Q2" s="35"/>
      <c r="R2" s="35"/>
    </row>
    <row r="3" spans="1:18" ht="15">
      <c r="A3" s="36"/>
      <c r="B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6"/>
      <c r="O3" s="35"/>
      <c r="P3" s="35"/>
      <c r="Q3" s="35"/>
      <c r="R3" s="35"/>
    </row>
    <row r="4" spans="1:18" ht="15">
      <c r="A4" s="12" t="s">
        <v>50</v>
      </c>
      <c r="B4" s="12"/>
      <c r="C4" s="13"/>
      <c r="D4" s="36"/>
      <c r="E4" s="36"/>
      <c r="F4" s="36"/>
      <c r="G4" s="36"/>
      <c r="H4" s="36"/>
      <c r="I4" s="36"/>
      <c r="J4" s="36"/>
      <c r="K4" s="36"/>
      <c r="L4" s="36"/>
      <c r="M4" s="36"/>
      <c r="N4" s="16"/>
      <c r="O4" s="35"/>
      <c r="P4" s="35"/>
      <c r="Q4" s="35"/>
      <c r="R4" s="35"/>
    </row>
    <row r="5" spans="1:18" ht="15">
      <c r="A5" s="12" t="s">
        <v>51</v>
      </c>
      <c r="B5" s="12"/>
      <c r="C5" s="13"/>
      <c r="D5" s="36"/>
      <c r="E5" s="36"/>
      <c r="F5" s="36"/>
      <c r="G5" s="36"/>
      <c r="H5" s="36"/>
      <c r="I5" s="36"/>
      <c r="J5" s="36"/>
      <c r="K5" s="36"/>
      <c r="L5" s="36"/>
      <c r="M5" s="36"/>
      <c r="N5" s="16"/>
      <c r="O5" s="35"/>
      <c r="P5" s="35"/>
      <c r="Q5" s="35"/>
      <c r="R5" s="35"/>
    </row>
    <row r="6" spans="1:18" ht="15">
      <c r="A6" s="12" t="s">
        <v>52</v>
      </c>
      <c r="B6" s="12"/>
      <c r="C6" s="13"/>
      <c r="D6" s="36"/>
      <c r="E6" s="36"/>
      <c r="F6" s="36"/>
      <c r="G6" s="36"/>
      <c r="H6" s="36"/>
      <c r="I6" s="36"/>
      <c r="J6" s="36"/>
      <c r="K6" s="36"/>
      <c r="L6" s="36"/>
      <c r="M6" s="36"/>
      <c r="N6" s="16"/>
      <c r="O6" s="35"/>
      <c r="P6" s="35"/>
      <c r="Q6" s="35"/>
      <c r="R6" s="35"/>
    </row>
    <row r="7" spans="1:18" ht="15">
      <c r="A7" s="115"/>
      <c r="B7" s="11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6"/>
      <c r="O7" s="35"/>
      <c r="P7" s="35"/>
      <c r="Q7" s="35"/>
      <c r="R7" s="35"/>
    </row>
    <row r="8" spans="1:27" ht="15">
      <c r="A8" s="2" t="s">
        <v>295</v>
      </c>
      <c r="B8" s="2"/>
      <c r="C8" s="2"/>
      <c r="D8" s="16"/>
      <c r="E8" s="36" t="s">
        <v>296</v>
      </c>
      <c r="F8" s="36"/>
      <c r="G8" s="36"/>
      <c r="H8" s="36"/>
      <c r="I8" s="36"/>
      <c r="J8" s="36"/>
      <c r="K8" s="36"/>
      <c r="L8" s="36"/>
      <c r="M8" s="16"/>
      <c r="N8" s="16"/>
      <c r="O8" s="35"/>
      <c r="P8" s="35"/>
      <c r="Q8" s="35"/>
      <c r="R8" s="35"/>
      <c r="AA8" s="33">
        <v>0</v>
      </c>
    </row>
    <row r="9" spans="1:27" ht="15">
      <c r="A9" s="166" t="s">
        <v>19</v>
      </c>
      <c r="B9" s="166"/>
      <c r="C9" s="166"/>
      <c r="D9" s="20">
        <v>0</v>
      </c>
      <c r="E9" s="39" t="s">
        <v>20</v>
      </c>
      <c r="F9" s="36"/>
      <c r="G9" s="36"/>
      <c r="H9" s="36"/>
      <c r="I9" s="36"/>
      <c r="J9" s="36"/>
      <c r="K9" s="36"/>
      <c r="L9" s="36"/>
      <c r="M9" s="16"/>
      <c r="N9" s="16"/>
      <c r="O9" s="35"/>
      <c r="P9" s="35"/>
      <c r="Q9" s="35"/>
      <c r="R9" s="35"/>
      <c r="AA9" s="33">
        <v>0</v>
      </c>
    </row>
    <row r="10" spans="1:27" ht="15">
      <c r="A10" s="167" t="s">
        <v>62</v>
      </c>
      <c r="B10" s="167"/>
      <c r="C10" s="167"/>
      <c r="D10" s="20">
        <v>0</v>
      </c>
      <c r="E10" s="39" t="s">
        <v>20</v>
      </c>
      <c r="F10" s="36"/>
      <c r="G10" s="36"/>
      <c r="H10" s="36"/>
      <c r="I10" s="36"/>
      <c r="J10" s="36"/>
      <c r="K10" s="36"/>
      <c r="L10" s="36"/>
      <c r="M10" s="16"/>
      <c r="N10" s="16"/>
      <c r="O10" s="35"/>
      <c r="P10" s="35"/>
      <c r="Q10" s="35"/>
      <c r="R10" s="35"/>
      <c r="AA10" s="33">
        <v>0</v>
      </c>
    </row>
    <row r="11" spans="1:27" ht="14.25" customHeight="1">
      <c r="A11" s="166" t="s">
        <v>70</v>
      </c>
      <c r="B11" s="166"/>
      <c r="C11" s="166"/>
      <c r="D11" s="125">
        <v>1</v>
      </c>
      <c r="E11" s="36"/>
      <c r="F11" s="36"/>
      <c r="G11" s="36"/>
      <c r="H11" s="36"/>
      <c r="I11" s="36"/>
      <c r="J11" s="36"/>
      <c r="K11" s="36"/>
      <c r="L11" s="36"/>
      <c r="M11" s="16"/>
      <c r="N11" s="16"/>
      <c r="O11" s="35"/>
      <c r="P11" s="35"/>
      <c r="Q11" s="35"/>
      <c r="R11" s="35"/>
      <c r="AA11" s="33">
        <v>0</v>
      </c>
    </row>
    <row r="12" spans="1:27" ht="31.5" customHeight="1">
      <c r="A12" s="36"/>
      <c r="B12" s="36"/>
      <c r="C12" s="36"/>
      <c r="D12" s="16"/>
      <c r="E12" s="36"/>
      <c r="F12" s="148" t="s">
        <v>97</v>
      </c>
      <c r="G12" s="145"/>
      <c r="H12" s="145"/>
      <c r="I12" s="145"/>
      <c r="J12" s="145"/>
      <c r="K12" s="145"/>
      <c r="L12" s="145"/>
      <c r="M12" s="34"/>
      <c r="N12" s="16"/>
      <c r="O12" s="35"/>
      <c r="P12" s="35"/>
      <c r="Q12" s="35"/>
      <c r="R12" s="35"/>
      <c r="AA12" s="33">
        <v>0</v>
      </c>
    </row>
    <row r="13" spans="1:27" ht="15">
      <c r="A13" s="18" t="s">
        <v>67</v>
      </c>
      <c r="B13" s="18"/>
      <c r="C13" s="18"/>
      <c r="D13" s="16"/>
      <c r="E13" s="36"/>
      <c r="F13" s="36"/>
      <c r="G13" s="36"/>
      <c r="H13" s="36"/>
      <c r="I13" s="36"/>
      <c r="J13" s="36"/>
      <c r="K13" s="36"/>
      <c r="L13" s="36"/>
      <c r="M13" s="16"/>
      <c r="N13" s="16"/>
      <c r="O13" s="35"/>
      <c r="P13" s="35"/>
      <c r="Q13" s="35"/>
      <c r="R13" s="35"/>
      <c r="AA13" s="33">
        <v>0</v>
      </c>
    </row>
    <row r="14" spans="1:27" ht="15">
      <c r="A14" s="2"/>
      <c r="B14" s="2" t="s">
        <v>76</v>
      </c>
      <c r="C14" s="2"/>
      <c r="D14" s="22" t="s">
        <v>24</v>
      </c>
      <c r="E14" s="19">
        <f>VLOOKUP(D14,X51:Y55,2,0)</f>
        <v>0</v>
      </c>
      <c r="F14" s="2" t="s">
        <v>17</v>
      </c>
      <c r="G14" s="2"/>
      <c r="H14" s="159">
        <f>E14*(D9-D10)</f>
        <v>0</v>
      </c>
      <c r="I14" s="160"/>
      <c r="J14" s="160"/>
      <c r="K14" s="29" t="s">
        <v>46</v>
      </c>
      <c r="L14" s="2"/>
      <c r="M14" s="125"/>
      <c r="N14" s="125"/>
      <c r="O14" s="35"/>
      <c r="P14" s="35"/>
      <c r="Q14" s="35"/>
      <c r="R14" s="35"/>
      <c r="AA14" s="33">
        <v>0</v>
      </c>
    </row>
    <row r="15" spans="1:27" ht="15">
      <c r="A15" s="2"/>
      <c r="B15" s="2" t="s">
        <v>77</v>
      </c>
      <c r="C15" s="2"/>
      <c r="D15" s="22" t="s">
        <v>24</v>
      </c>
      <c r="E15" s="19">
        <f>VLOOKUP(D15,X56:Y60,2,0)</f>
        <v>0</v>
      </c>
      <c r="F15" s="2" t="s">
        <v>17</v>
      </c>
      <c r="G15" s="2"/>
      <c r="H15" s="159">
        <f>E15*(D9-D10)</f>
        <v>0</v>
      </c>
      <c r="I15" s="160"/>
      <c r="J15" s="160"/>
      <c r="K15" s="29" t="s">
        <v>46</v>
      </c>
      <c r="L15" s="2"/>
      <c r="M15" s="125"/>
      <c r="N15" s="125"/>
      <c r="O15" s="35"/>
      <c r="P15" s="35"/>
      <c r="Q15" s="35"/>
      <c r="R15" s="35"/>
      <c r="AA15" s="33">
        <v>0</v>
      </c>
    </row>
    <row r="16" spans="1:18" ht="15">
      <c r="A16" s="18" t="s">
        <v>298</v>
      </c>
      <c r="B16" s="18"/>
      <c r="C16" s="2"/>
      <c r="D16" s="22"/>
      <c r="E16" s="19"/>
      <c r="F16" s="2"/>
      <c r="G16" s="2"/>
      <c r="H16" s="26"/>
      <c r="I16" s="29"/>
      <c r="J16" s="29"/>
      <c r="K16" s="29"/>
      <c r="L16" s="2"/>
      <c r="M16" s="125"/>
      <c r="N16" s="125"/>
      <c r="O16" s="35"/>
      <c r="P16" s="35"/>
      <c r="Q16" s="35"/>
      <c r="R16" s="35"/>
    </row>
    <row r="17" spans="1:26" ht="33" customHeight="1">
      <c r="A17" s="2"/>
      <c r="B17" s="2" t="s">
        <v>76</v>
      </c>
      <c r="C17" s="2"/>
      <c r="D17" s="22" t="s">
        <v>24</v>
      </c>
      <c r="E17" s="19">
        <f>VLOOKUP(D17,AA51:AD66,4,0)</f>
        <v>0</v>
      </c>
      <c r="F17" s="2" t="s">
        <v>17</v>
      </c>
      <c r="G17" s="2"/>
      <c r="H17" s="159">
        <f>E17*(D9-D10)*D11*D8</f>
        <v>0</v>
      </c>
      <c r="I17" s="160"/>
      <c r="J17" s="160"/>
      <c r="K17" s="29" t="s">
        <v>46</v>
      </c>
      <c r="L17" s="2"/>
      <c r="M17" s="125"/>
      <c r="N17" s="125"/>
      <c r="O17" s="35"/>
      <c r="P17" s="35"/>
      <c r="Q17" s="35"/>
      <c r="R17" s="35"/>
      <c r="Z17" s="33" t="s">
        <v>24</v>
      </c>
    </row>
    <row r="18" spans="1:26" ht="15">
      <c r="A18" s="2"/>
      <c r="B18" s="2" t="s">
        <v>77</v>
      </c>
      <c r="C18" s="2"/>
      <c r="D18" s="22" t="s">
        <v>24</v>
      </c>
      <c r="E18" s="19">
        <f>VLOOKUP(D18,AA69:AD75,4,0)</f>
        <v>0</v>
      </c>
      <c r="F18" s="2" t="s">
        <v>17</v>
      </c>
      <c r="G18" s="2"/>
      <c r="H18" s="159">
        <f>E18*(D9-D10)*D11*D8</f>
        <v>0</v>
      </c>
      <c r="I18" s="160"/>
      <c r="J18" s="160"/>
      <c r="K18" s="29" t="s">
        <v>46</v>
      </c>
      <c r="L18" s="2"/>
      <c r="M18" s="125"/>
      <c r="N18" s="125"/>
      <c r="O18" s="35"/>
      <c r="P18" s="35"/>
      <c r="Q18" s="35"/>
      <c r="R18" s="35"/>
      <c r="Z18" s="33" t="s">
        <v>24</v>
      </c>
    </row>
    <row r="19" spans="1:26" ht="15">
      <c r="A19" s="18" t="s">
        <v>68</v>
      </c>
      <c r="B19" s="18"/>
      <c r="C19" s="18"/>
      <c r="D19" s="22"/>
      <c r="E19" s="19"/>
      <c r="F19" s="2"/>
      <c r="G19" s="2"/>
      <c r="H19" s="26"/>
      <c r="I19" s="29"/>
      <c r="J19" s="29"/>
      <c r="K19" s="29"/>
      <c r="L19" s="2"/>
      <c r="M19" s="125"/>
      <c r="N19" s="125"/>
      <c r="O19" s="35"/>
      <c r="P19" s="131"/>
      <c r="Q19" s="35"/>
      <c r="R19" s="35"/>
      <c r="Z19" s="33" t="s">
        <v>24</v>
      </c>
    </row>
    <row r="20" spans="1:26" ht="15">
      <c r="A20" s="2"/>
      <c r="B20" s="2" t="s">
        <v>76</v>
      </c>
      <c r="C20" s="2"/>
      <c r="D20" s="22" t="s">
        <v>24</v>
      </c>
      <c r="E20" s="19">
        <f>VLOOKUP(D20,AA76:AD99,4,0)</f>
        <v>0</v>
      </c>
      <c r="F20" s="2" t="s">
        <v>17</v>
      </c>
      <c r="G20" s="2"/>
      <c r="H20" s="159">
        <f>(D9-D10)*E20*D11*D8</f>
        <v>0</v>
      </c>
      <c r="I20" s="160"/>
      <c r="J20" s="160"/>
      <c r="K20" s="29" t="s">
        <v>46</v>
      </c>
      <c r="L20" s="2"/>
      <c r="M20" s="125"/>
      <c r="N20" s="125"/>
      <c r="O20" s="35"/>
      <c r="P20" s="35"/>
      <c r="Q20" s="35"/>
      <c r="R20" s="35"/>
      <c r="Z20" s="33" t="s">
        <v>24</v>
      </c>
    </row>
    <row r="21" spans="1:26" ht="15">
      <c r="A21" s="2"/>
      <c r="B21" s="2" t="s">
        <v>77</v>
      </c>
      <c r="C21" s="2"/>
      <c r="D21" s="22" t="s">
        <v>24</v>
      </c>
      <c r="E21" s="19">
        <f>VLOOKUP(D21,AA104:AD116,4,0)</f>
        <v>0</v>
      </c>
      <c r="F21" s="2" t="s">
        <v>17</v>
      </c>
      <c r="G21" s="2"/>
      <c r="H21" s="159">
        <f>E21*(D9-D10)*D11*D8</f>
        <v>0</v>
      </c>
      <c r="I21" s="160"/>
      <c r="J21" s="160"/>
      <c r="K21" s="29" t="s">
        <v>46</v>
      </c>
      <c r="L21" s="2"/>
      <c r="M21" s="125"/>
      <c r="N21" s="125"/>
      <c r="O21" s="35"/>
      <c r="P21" s="35"/>
      <c r="Q21" s="35"/>
      <c r="R21" s="35"/>
      <c r="Z21" s="33" t="s">
        <v>24</v>
      </c>
    </row>
    <row r="22" spans="1:26" ht="33" customHeight="1">
      <c r="A22" s="161" t="s">
        <v>282</v>
      </c>
      <c r="B22" s="162"/>
      <c r="C22" s="162"/>
      <c r="D22" s="22" t="s">
        <v>24</v>
      </c>
      <c r="E22" s="19">
        <f>VLOOKUP(D22,AA117:AC149,3,0)</f>
        <v>0</v>
      </c>
      <c r="F22" s="2" t="s">
        <v>17</v>
      </c>
      <c r="G22" s="2"/>
      <c r="H22" s="159">
        <f>E22*(D9-D10)*D11</f>
        <v>0</v>
      </c>
      <c r="I22" s="160"/>
      <c r="J22" s="160"/>
      <c r="K22" s="29" t="s">
        <v>46</v>
      </c>
      <c r="L22" s="2"/>
      <c r="M22" s="125"/>
      <c r="N22" s="125"/>
      <c r="O22" s="35"/>
      <c r="P22" s="35"/>
      <c r="Q22" s="35"/>
      <c r="R22" s="35"/>
      <c r="Z22" s="33" t="s">
        <v>24</v>
      </c>
    </row>
    <row r="23" spans="1:26" ht="15.75" customHeight="1">
      <c r="A23" s="161" t="s">
        <v>281</v>
      </c>
      <c r="B23" s="162"/>
      <c r="C23" s="162"/>
      <c r="D23" s="22" t="s">
        <v>24</v>
      </c>
      <c r="E23" s="19">
        <f>VLOOKUP(D23,AA150:AC152,3,0)</f>
        <v>0</v>
      </c>
      <c r="F23" s="2" t="s">
        <v>17</v>
      </c>
      <c r="G23" s="2"/>
      <c r="H23" s="159">
        <f>E23*(D9-D10)*D11</f>
        <v>0</v>
      </c>
      <c r="I23" s="160"/>
      <c r="J23" s="160"/>
      <c r="K23" s="29" t="s">
        <v>46</v>
      </c>
      <c r="L23" s="2"/>
      <c r="M23" s="125"/>
      <c r="N23" s="125"/>
      <c r="O23" s="35"/>
      <c r="P23" s="35"/>
      <c r="Q23" s="35"/>
      <c r="R23" s="35"/>
      <c r="Z23" s="33" t="s">
        <v>24</v>
      </c>
    </row>
    <row r="24" spans="1:26" ht="15">
      <c r="A24" s="18" t="s">
        <v>69</v>
      </c>
      <c r="B24" s="18"/>
      <c r="C24" s="18"/>
      <c r="D24" s="22"/>
      <c r="E24" s="19"/>
      <c r="F24" s="2"/>
      <c r="G24" s="2"/>
      <c r="H24" s="26"/>
      <c r="I24" s="29"/>
      <c r="J24" s="29"/>
      <c r="K24" s="29"/>
      <c r="L24" s="2"/>
      <c r="M24" s="125"/>
      <c r="N24" s="125"/>
      <c r="O24" s="35"/>
      <c r="P24" s="35"/>
      <c r="Q24" s="35"/>
      <c r="R24" s="35"/>
      <c r="Z24" s="33" t="s">
        <v>24</v>
      </c>
    </row>
    <row r="25" spans="1:26" ht="15">
      <c r="A25" s="2"/>
      <c r="B25" s="2" t="s">
        <v>76</v>
      </c>
      <c r="C25" s="2"/>
      <c r="D25" s="22" t="s">
        <v>24</v>
      </c>
      <c r="E25" s="19">
        <f>VLOOKUP(D25,X80:Y84,2,0)</f>
        <v>0</v>
      </c>
      <c r="F25" s="2" t="s">
        <v>17</v>
      </c>
      <c r="G25" s="2"/>
      <c r="H25" s="159">
        <f>E25*(D9-D10)</f>
        <v>0</v>
      </c>
      <c r="I25" s="160"/>
      <c r="J25" s="160"/>
      <c r="K25" s="29" t="s">
        <v>46</v>
      </c>
      <c r="L25" s="2"/>
      <c r="M25" s="125"/>
      <c r="N25" s="125"/>
      <c r="O25" s="35"/>
      <c r="P25" s="35"/>
      <c r="Q25" s="35"/>
      <c r="R25" s="35"/>
      <c r="Z25" s="33" t="s">
        <v>24</v>
      </c>
    </row>
    <row r="26" spans="1:26" ht="15">
      <c r="A26" s="2"/>
      <c r="B26" s="2" t="s">
        <v>77</v>
      </c>
      <c r="C26" s="2"/>
      <c r="D26" s="22" t="s">
        <v>24</v>
      </c>
      <c r="E26" s="19">
        <f>VLOOKUP(D26,X85:Y89,2,0)</f>
        <v>0</v>
      </c>
      <c r="F26" s="2" t="s">
        <v>17</v>
      </c>
      <c r="G26" s="2"/>
      <c r="H26" s="159">
        <f>E26*(D9-D10)</f>
        <v>0</v>
      </c>
      <c r="I26" s="160"/>
      <c r="J26" s="160"/>
      <c r="K26" s="29" t="s">
        <v>46</v>
      </c>
      <c r="L26" s="2"/>
      <c r="M26" s="125"/>
      <c r="N26" s="125"/>
      <c r="O26" s="35"/>
      <c r="P26" s="35"/>
      <c r="Q26" s="35"/>
      <c r="R26" s="35"/>
      <c r="Z26" s="33" t="s">
        <v>24</v>
      </c>
    </row>
    <row r="27" spans="1:18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6"/>
      <c r="N27" s="16"/>
      <c r="O27" s="35"/>
      <c r="P27" s="35"/>
      <c r="Q27" s="35"/>
      <c r="R27" s="35"/>
    </row>
    <row r="28" spans="1:18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6"/>
      <c r="N28" s="16"/>
      <c r="O28" s="35"/>
      <c r="P28" s="35"/>
      <c r="Q28" s="35"/>
      <c r="R28" s="35"/>
    </row>
    <row r="29" spans="1:18" ht="15">
      <c r="A29" s="36"/>
      <c r="B29" s="36"/>
      <c r="C29" s="116" t="s">
        <v>21</v>
      </c>
      <c r="D29" s="42">
        <f>H14+H15+H17+H18+H20+H21+H23+H22+H25+H26</f>
        <v>0</v>
      </c>
      <c r="E29" s="36" t="s">
        <v>23</v>
      </c>
      <c r="F29" s="36"/>
      <c r="G29" s="36"/>
      <c r="H29" s="36"/>
      <c r="I29" s="36"/>
      <c r="J29" s="36"/>
      <c r="K29" s="36"/>
      <c r="L29" s="36"/>
      <c r="M29" s="16"/>
      <c r="N29" s="16"/>
      <c r="O29" s="35"/>
      <c r="P29" s="35"/>
      <c r="Q29" s="35"/>
      <c r="R29" s="35"/>
    </row>
    <row r="30" spans="1:18" ht="15">
      <c r="A30" s="36"/>
      <c r="B30" s="36"/>
      <c r="C30" s="116"/>
      <c r="D30" s="42">
        <f>D31-D29</f>
        <v>0</v>
      </c>
      <c r="E30" s="36" t="s">
        <v>25</v>
      </c>
      <c r="F30" s="36"/>
      <c r="G30" s="36"/>
      <c r="H30" s="36"/>
      <c r="I30" s="36"/>
      <c r="J30" s="36"/>
      <c r="K30" s="36"/>
      <c r="L30" s="36"/>
      <c r="M30" s="16"/>
      <c r="N30" s="16"/>
      <c r="O30" s="35"/>
      <c r="P30" s="35"/>
      <c r="Q30" s="35"/>
      <c r="R30" s="35"/>
    </row>
    <row r="31" spans="1:18" ht="15">
      <c r="A31" s="36"/>
      <c r="B31" s="36"/>
      <c r="C31" s="116"/>
      <c r="D31" s="42">
        <f>ROUND(D29*1.18,2)</f>
        <v>0</v>
      </c>
      <c r="E31" s="36" t="s">
        <v>22</v>
      </c>
      <c r="F31" s="36"/>
      <c r="G31" s="36"/>
      <c r="H31" s="36"/>
      <c r="I31" s="36"/>
      <c r="J31" s="36"/>
      <c r="K31" s="36"/>
      <c r="L31" s="36"/>
      <c r="M31" s="16"/>
      <c r="N31" s="16"/>
      <c r="O31" s="35"/>
      <c r="P31" s="35"/>
      <c r="Q31" s="35"/>
      <c r="R31" s="35"/>
    </row>
    <row r="32" spans="1:29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16"/>
      <c r="N32" s="16"/>
      <c r="O32" s="34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1"/>
      <c r="AC32" s="11"/>
    </row>
    <row r="33" spans="1:29" ht="15">
      <c r="A33" s="41"/>
      <c r="B33" s="41"/>
      <c r="C33" s="41"/>
      <c r="D33" s="41"/>
      <c r="E33" s="118"/>
      <c r="F33" s="117"/>
      <c r="G33" s="117"/>
      <c r="H33" s="117"/>
      <c r="I33" s="117"/>
      <c r="J33" s="41"/>
      <c r="K33" s="117"/>
      <c r="L33" s="41"/>
      <c r="M33" s="16"/>
      <c r="N33" s="16"/>
      <c r="O33" s="34"/>
      <c r="P33" s="28"/>
      <c r="Q33" s="28"/>
      <c r="R33" s="28"/>
      <c r="S33" s="28"/>
      <c r="T33" s="17"/>
      <c r="U33" s="34"/>
      <c r="V33" s="34"/>
      <c r="W33" s="34"/>
      <c r="X33" s="34"/>
      <c r="Y33" s="28"/>
      <c r="Z33" s="34"/>
      <c r="AA33" s="28"/>
      <c r="AB33" s="11"/>
      <c r="AC33" s="11"/>
    </row>
    <row r="34" spans="1:29" ht="15">
      <c r="A34" s="16"/>
      <c r="B34" s="165" t="s">
        <v>48</v>
      </c>
      <c r="C34" s="165"/>
      <c r="D34" s="165"/>
      <c r="E34" s="157" t="s">
        <v>47</v>
      </c>
      <c r="F34" s="158"/>
      <c r="G34" s="158"/>
      <c r="H34" s="158"/>
      <c r="I34" s="158"/>
      <c r="J34" s="36"/>
      <c r="K34" s="119"/>
      <c r="L34" s="36"/>
      <c r="M34" s="16"/>
      <c r="N34" s="16"/>
      <c r="O34" s="34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4"/>
      <c r="AA34" s="28"/>
      <c r="AB34" s="11"/>
      <c r="AC34" s="11"/>
    </row>
    <row r="35" spans="1:29" ht="15">
      <c r="A35" s="16"/>
      <c r="B35" s="16"/>
      <c r="C35" s="16"/>
      <c r="D35" s="16"/>
      <c r="E35" s="36"/>
      <c r="F35" s="36"/>
      <c r="G35" s="36"/>
      <c r="H35" s="36"/>
      <c r="I35" s="36"/>
      <c r="J35" s="36"/>
      <c r="K35" s="119"/>
      <c r="L35" s="36"/>
      <c r="M35" s="16"/>
      <c r="N35" s="16"/>
      <c r="O35" s="34"/>
      <c r="P35" s="28"/>
      <c r="Q35" s="28"/>
      <c r="R35" s="28"/>
      <c r="S35" s="28"/>
      <c r="T35" s="17"/>
      <c r="U35" s="17"/>
      <c r="V35" s="34"/>
      <c r="W35" s="34"/>
      <c r="X35" s="34"/>
      <c r="Y35" s="28"/>
      <c r="Z35" s="34"/>
      <c r="AA35" s="28"/>
      <c r="AB35" s="11"/>
      <c r="AC35" s="11"/>
    </row>
    <row r="36" spans="1:29" ht="15">
      <c r="A36" s="16"/>
      <c r="B36" s="165" t="s">
        <v>49</v>
      </c>
      <c r="C36" s="165"/>
      <c r="D36" s="165"/>
      <c r="E36" s="157" t="s">
        <v>54</v>
      </c>
      <c r="F36" s="157"/>
      <c r="G36" s="158"/>
      <c r="H36" s="158"/>
      <c r="I36" s="158"/>
      <c r="J36" s="36"/>
      <c r="K36" s="119"/>
      <c r="L36" s="36"/>
      <c r="M36" s="16"/>
      <c r="N36" s="16"/>
      <c r="O36" s="34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4"/>
      <c r="AA36" s="28"/>
      <c r="AB36" s="11"/>
      <c r="AC36" s="11"/>
    </row>
    <row r="37" spans="1:29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35"/>
      <c r="L37" s="16"/>
      <c r="M37" s="16"/>
      <c r="N37" s="16"/>
      <c r="O37" s="34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4"/>
      <c r="AA37" s="28"/>
      <c r="AB37" s="11"/>
      <c r="AC37" s="11"/>
    </row>
    <row r="38" spans="1:29" ht="15">
      <c r="A38" s="16"/>
      <c r="B38" s="163" t="s">
        <v>78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"/>
      <c r="O38" s="3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4"/>
      <c r="AA38" s="28"/>
      <c r="AB38" s="11"/>
      <c r="AC38" s="11"/>
    </row>
    <row r="39" spans="1:29" ht="15">
      <c r="A39" s="36"/>
      <c r="B39" s="163" t="s">
        <v>79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"/>
      <c r="O39" s="34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4"/>
      <c r="AA39" s="28"/>
      <c r="AB39" s="11"/>
      <c r="AC39" s="11"/>
    </row>
    <row r="40" spans="1:29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16"/>
      <c r="M40" s="16"/>
      <c r="N40" s="16"/>
      <c r="O40" s="3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4"/>
      <c r="AA40" s="28"/>
      <c r="AB40" s="11"/>
      <c r="AC40" s="11"/>
    </row>
    <row r="41" spans="2:29" ht="27.75" customHeight="1">
      <c r="B41" s="155" t="s">
        <v>299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6"/>
      <c r="O41" s="34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34"/>
      <c r="AA41" s="28"/>
      <c r="AB41" s="11"/>
      <c r="AC41" s="11"/>
    </row>
    <row r="42" spans="13:29" ht="15">
      <c r="M42" s="16"/>
      <c r="N42" s="16"/>
      <c r="O42" s="34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34"/>
      <c r="AA42" s="28"/>
      <c r="AB42" s="11"/>
      <c r="AC42" s="11"/>
    </row>
    <row r="43" spans="13:29" ht="15">
      <c r="M43" s="16"/>
      <c r="N43" s="16"/>
      <c r="O43" s="34"/>
      <c r="P43" s="120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1"/>
      <c r="AC43" s="11"/>
    </row>
    <row r="44" spans="13:29" ht="236.25" customHeight="1">
      <c r="M44" s="16"/>
      <c r="N44" s="16"/>
      <c r="O44" s="34"/>
      <c r="P44" s="34"/>
      <c r="Q44" s="34"/>
      <c r="R44" s="3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71.25" customHeight="1">
      <c r="A45" s="170" t="s">
        <v>269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52"/>
      <c r="L45" s="152"/>
      <c r="M45" s="152"/>
      <c r="N45" s="16"/>
      <c r="O45" s="34"/>
      <c r="P45" s="34"/>
      <c r="Q45" s="34"/>
      <c r="R45" s="34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18" ht="15">
      <c r="A46" s="169" t="s">
        <v>297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6"/>
      <c r="O46" s="35"/>
      <c r="P46" s="35"/>
      <c r="Q46" s="35"/>
      <c r="R46" s="35"/>
    </row>
    <row r="47" spans="1:18" ht="14.2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6"/>
      <c r="O47" s="35"/>
      <c r="P47" s="35"/>
      <c r="Q47" s="35"/>
      <c r="R47" s="35"/>
    </row>
    <row r="48" spans="1:18" ht="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6"/>
      <c r="O48" s="35"/>
      <c r="P48" s="35"/>
      <c r="Q48" s="35"/>
      <c r="R48" s="35"/>
    </row>
    <row r="49" spans="1:25" ht="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6"/>
      <c r="O49" s="35"/>
      <c r="P49" s="35"/>
      <c r="Q49" s="35"/>
      <c r="R49" s="35"/>
      <c r="W49" s="72"/>
      <c r="X49" s="72"/>
      <c r="Y49" s="72"/>
    </row>
    <row r="50" spans="1:30" ht="1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6"/>
      <c r="O50" s="35"/>
      <c r="P50" s="35"/>
      <c r="Q50" s="35"/>
      <c r="R50" s="35"/>
      <c r="W50" s="156" t="s">
        <v>74</v>
      </c>
      <c r="X50" s="156"/>
      <c r="Y50" s="156"/>
      <c r="AA50" s="132" t="s">
        <v>2</v>
      </c>
      <c r="AB50" s="132"/>
      <c r="AC50" s="132"/>
      <c r="AD50" s="132"/>
    </row>
    <row r="51" spans="1:30" ht="1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6"/>
      <c r="O51" s="35"/>
      <c r="P51" s="35"/>
      <c r="Q51" s="35"/>
      <c r="R51" s="35"/>
      <c r="W51" s="122"/>
      <c r="X51" s="122" t="s">
        <v>24</v>
      </c>
      <c r="Y51" s="122"/>
      <c r="AA51" s="82" t="s">
        <v>24</v>
      </c>
      <c r="AB51" s="82"/>
      <c r="AC51" s="82"/>
      <c r="AD51" s="82"/>
    </row>
    <row r="52" spans="1:30" ht="1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35"/>
      <c r="O52" s="35"/>
      <c r="P52" s="35"/>
      <c r="Q52" s="35"/>
      <c r="R52" s="35"/>
      <c r="W52" s="122" t="s">
        <v>71</v>
      </c>
      <c r="X52" s="72"/>
      <c r="Y52" s="123"/>
      <c r="AA52" s="87" t="s">
        <v>217</v>
      </c>
      <c r="AB52" s="88" t="s">
        <v>17</v>
      </c>
      <c r="AC52" s="88">
        <v>0.4</v>
      </c>
      <c r="AD52" s="89">
        <v>12283.08</v>
      </c>
    </row>
    <row r="53" spans="1:30" ht="1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35"/>
      <c r="O53" s="35"/>
      <c r="P53" s="35"/>
      <c r="Q53" s="35"/>
      <c r="R53" s="35"/>
      <c r="W53" s="122"/>
      <c r="X53" s="72" t="s">
        <v>95</v>
      </c>
      <c r="Y53" s="123">
        <v>111.23</v>
      </c>
      <c r="AA53" s="87" t="s">
        <v>218</v>
      </c>
      <c r="AB53" s="88" t="s">
        <v>17</v>
      </c>
      <c r="AC53" s="88">
        <v>0.4</v>
      </c>
      <c r="AD53" s="89">
        <v>5521.34</v>
      </c>
    </row>
    <row r="54" spans="1:30" ht="1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35"/>
      <c r="O54" s="35"/>
      <c r="P54" s="35"/>
      <c r="Q54" s="35"/>
      <c r="R54" s="35"/>
      <c r="W54" s="122"/>
      <c r="X54" s="72" t="s">
        <v>94</v>
      </c>
      <c r="Y54" s="123">
        <v>111.23</v>
      </c>
      <c r="AA54" s="87" t="s">
        <v>219</v>
      </c>
      <c r="AB54" s="88" t="s">
        <v>17</v>
      </c>
      <c r="AC54" s="88">
        <v>0.4</v>
      </c>
      <c r="AD54" s="89">
        <v>4529.59</v>
      </c>
    </row>
    <row r="55" spans="1:30" ht="1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35"/>
      <c r="O55" s="35"/>
      <c r="P55" s="35"/>
      <c r="Q55" s="35"/>
      <c r="R55" s="35"/>
      <c r="W55" s="122"/>
      <c r="X55" s="72" t="s">
        <v>73</v>
      </c>
      <c r="Y55" s="123">
        <v>111.23</v>
      </c>
      <c r="AA55" s="87" t="s">
        <v>220</v>
      </c>
      <c r="AB55" s="88" t="s">
        <v>17</v>
      </c>
      <c r="AC55" s="88">
        <v>0.4</v>
      </c>
      <c r="AD55" s="89">
        <v>11407.7</v>
      </c>
    </row>
    <row r="56" spans="1:30" ht="1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35"/>
      <c r="O56" s="35"/>
      <c r="P56" s="35"/>
      <c r="Q56" s="35"/>
      <c r="R56" s="35"/>
      <c r="W56" s="122"/>
      <c r="X56" s="72" t="s">
        <v>24</v>
      </c>
      <c r="Y56" s="72"/>
      <c r="AA56" s="87" t="s">
        <v>221</v>
      </c>
      <c r="AB56" s="88" t="s">
        <v>17</v>
      </c>
      <c r="AC56" s="88">
        <v>0.4</v>
      </c>
      <c r="AD56" s="89">
        <v>7516.99</v>
      </c>
    </row>
    <row r="57" spans="1:30" ht="1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35"/>
      <c r="O57" s="35"/>
      <c r="P57" s="35"/>
      <c r="Q57" s="35"/>
      <c r="R57" s="35"/>
      <c r="W57" s="122" t="s">
        <v>72</v>
      </c>
      <c r="X57" s="72"/>
      <c r="Y57" s="123"/>
      <c r="AA57" s="87" t="s">
        <v>222</v>
      </c>
      <c r="AB57" s="88" t="s">
        <v>17</v>
      </c>
      <c r="AC57" s="88">
        <v>0.4</v>
      </c>
      <c r="AD57" s="89">
        <v>5394.59</v>
      </c>
    </row>
    <row r="58" spans="1:30" ht="1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35"/>
      <c r="O58" s="35"/>
      <c r="P58" s="35"/>
      <c r="Q58" s="35"/>
      <c r="R58" s="35"/>
      <c r="W58" s="122"/>
      <c r="X58" s="72" t="s">
        <v>95</v>
      </c>
      <c r="Y58" s="123">
        <v>111.23</v>
      </c>
      <c r="AA58" s="87" t="s">
        <v>223</v>
      </c>
      <c r="AB58" s="88" t="s">
        <v>17</v>
      </c>
      <c r="AC58" s="88">
        <v>0.4</v>
      </c>
      <c r="AD58" s="89">
        <v>986.69</v>
      </c>
    </row>
    <row r="59" spans="1:30" ht="1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35"/>
      <c r="O59" s="35"/>
      <c r="P59" s="35"/>
      <c r="Q59" s="35"/>
      <c r="R59" s="35"/>
      <c r="W59" s="122"/>
      <c r="X59" s="72" t="s">
        <v>94</v>
      </c>
      <c r="Y59" s="123">
        <v>111.23</v>
      </c>
      <c r="AA59" s="87" t="s">
        <v>225</v>
      </c>
      <c r="AB59" s="88" t="s">
        <v>17</v>
      </c>
      <c r="AC59" s="88">
        <v>0.4</v>
      </c>
      <c r="AD59" s="89">
        <v>8147.35</v>
      </c>
    </row>
    <row r="60" spans="1:30" ht="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35"/>
      <c r="O60" s="35"/>
      <c r="P60" s="35"/>
      <c r="Q60" s="35"/>
      <c r="R60" s="35"/>
      <c r="W60" s="122"/>
      <c r="X60" s="72" t="s">
        <v>73</v>
      </c>
      <c r="Y60" s="123">
        <v>111.23</v>
      </c>
      <c r="AA60" s="87" t="s">
        <v>226</v>
      </c>
      <c r="AB60" s="88" t="s">
        <v>17</v>
      </c>
      <c r="AC60" s="88">
        <v>0.4</v>
      </c>
      <c r="AD60" s="89">
        <v>7141.21</v>
      </c>
    </row>
    <row r="61" spans="1:30" ht="1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35"/>
      <c r="O61" s="35"/>
      <c r="P61" s="35"/>
      <c r="Q61" s="35"/>
      <c r="R61" s="35"/>
      <c r="W61" s="72"/>
      <c r="X61" s="72"/>
      <c r="Y61" s="72"/>
      <c r="AA61" s="87" t="s">
        <v>227</v>
      </c>
      <c r="AB61" s="88" t="s">
        <v>17</v>
      </c>
      <c r="AC61" s="88">
        <v>0.4</v>
      </c>
      <c r="AD61" s="89">
        <v>27163.07</v>
      </c>
    </row>
    <row r="62" spans="1:30" ht="1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35"/>
      <c r="O62" s="35"/>
      <c r="P62" s="35"/>
      <c r="Q62" s="35"/>
      <c r="R62" s="35"/>
      <c r="W62" s="72"/>
      <c r="X62" s="72"/>
      <c r="Y62" s="124"/>
      <c r="AA62" s="87" t="s">
        <v>136</v>
      </c>
      <c r="AB62" s="88" t="s">
        <v>17</v>
      </c>
      <c r="AC62" s="88">
        <v>0.4</v>
      </c>
      <c r="AD62" s="89">
        <v>3947.03</v>
      </c>
    </row>
    <row r="63" spans="1:30" ht="1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35"/>
      <c r="O63" s="35"/>
      <c r="P63" s="35"/>
      <c r="Q63" s="35"/>
      <c r="R63" s="35"/>
      <c r="W63" s="72"/>
      <c r="X63" s="72"/>
      <c r="Y63" s="124"/>
      <c r="AA63" s="87" t="s">
        <v>137</v>
      </c>
      <c r="AB63" s="88" t="s">
        <v>17</v>
      </c>
      <c r="AC63" s="88">
        <v>0.4</v>
      </c>
      <c r="AD63" s="89">
        <v>8745.85</v>
      </c>
    </row>
    <row r="64" spans="1:30" ht="1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35"/>
      <c r="O64" s="35"/>
      <c r="P64" s="35"/>
      <c r="Q64" s="35"/>
      <c r="R64" s="35"/>
      <c r="W64" s="72"/>
      <c r="X64" s="72"/>
      <c r="Y64" s="124"/>
      <c r="AA64" s="87" t="s">
        <v>231</v>
      </c>
      <c r="AB64" s="88" t="s">
        <v>17</v>
      </c>
      <c r="AC64" s="88">
        <v>0.4</v>
      </c>
      <c r="AD64" s="89">
        <v>4579.29</v>
      </c>
    </row>
    <row r="65" spans="1:30" ht="1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35"/>
      <c r="O65" s="35"/>
      <c r="P65" s="35"/>
      <c r="Q65" s="35"/>
      <c r="R65" s="35"/>
      <c r="W65" s="72"/>
      <c r="X65" s="72"/>
      <c r="Y65" s="124"/>
      <c r="AA65" s="87" t="s">
        <v>232</v>
      </c>
      <c r="AB65" s="88" t="s">
        <v>17</v>
      </c>
      <c r="AC65" s="88">
        <v>0.4</v>
      </c>
      <c r="AD65" s="89">
        <v>1444.18</v>
      </c>
    </row>
    <row r="66" spans="1:30" ht="1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35"/>
      <c r="O66" s="35"/>
      <c r="P66" s="35"/>
      <c r="Q66" s="35"/>
      <c r="R66" s="35"/>
      <c r="W66" s="72"/>
      <c r="X66" s="72"/>
      <c r="Y66" s="72"/>
      <c r="AA66" s="87" t="s">
        <v>233</v>
      </c>
      <c r="AB66" s="88" t="s">
        <v>17</v>
      </c>
      <c r="AC66" s="88">
        <v>0.4</v>
      </c>
      <c r="AD66" s="89">
        <v>5370.66</v>
      </c>
    </row>
    <row r="67" spans="1:25" ht="1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35"/>
      <c r="O67" s="35"/>
      <c r="P67" s="35"/>
      <c r="Q67" s="35"/>
      <c r="R67" s="35"/>
      <c r="W67" s="72"/>
      <c r="X67" s="72"/>
      <c r="Y67" s="72"/>
    </row>
    <row r="68" spans="1:25" ht="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35"/>
      <c r="O68" s="35"/>
      <c r="P68" s="35"/>
      <c r="Q68" s="35"/>
      <c r="R68" s="35"/>
      <c r="W68" s="72"/>
      <c r="X68" s="72"/>
      <c r="Y68" s="72"/>
    </row>
    <row r="69" spans="1:30" ht="1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35"/>
      <c r="O69" s="35"/>
      <c r="P69" s="35"/>
      <c r="Q69" s="35"/>
      <c r="R69" s="35"/>
      <c r="W69" s="72"/>
      <c r="X69" s="72"/>
      <c r="Y69" s="72"/>
      <c r="AA69" s="87" t="s">
        <v>24</v>
      </c>
      <c r="AB69" s="88" t="s">
        <v>17</v>
      </c>
      <c r="AC69" s="88"/>
      <c r="AD69" s="89"/>
    </row>
    <row r="70" spans="1:30" ht="1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35"/>
      <c r="O70" s="35"/>
      <c r="P70" s="35"/>
      <c r="Q70" s="35"/>
      <c r="R70" s="35"/>
      <c r="W70" s="72"/>
      <c r="X70" s="72"/>
      <c r="Y70" s="72"/>
      <c r="AA70" s="87" t="s">
        <v>139</v>
      </c>
      <c r="AB70" s="88" t="s">
        <v>17</v>
      </c>
      <c r="AC70" s="88" t="s">
        <v>0</v>
      </c>
      <c r="AD70" s="89">
        <v>2135.56</v>
      </c>
    </row>
    <row r="71" spans="1:30" ht="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35"/>
      <c r="O71" s="35"/>
      <c r="P71" s="35"/>
      <c r="Q71" s="35"/>
      <c r="R71" s="35"/>
      <c r="W71" s="72"/>
      <c r="X71" s="72"/>
      <c r="Y71" s="72"/>
      <c r="AA71" s="87" t="s">
        <v>140</v>
      </c>
      <c r="AB71" s="88" t="s">
        <v>17</v>
      </c>
      <c r="AC71" s="88" t="s">
        <v>0</v>
      </c>
      <c r="AD71" s="89">
        <v>2432.26</v>
      </c>
    </row>
    <row r="72" spans="1:30" ht="15">
      <c r="A72" s="128"/>
      <c r="B72" s="34"/>
      <c r="C72" s="34"/>
      <c r="D72" s="34"/>
      <c r="E72" s="34"/>
      <c r="F72" s="34"/>
      <c r="G72" s="34"/>
      <c r="H72" s="34"/>
      <c r="I72" s="34"/>
      <c r="J72" s="34"/>
      <c r="K72" s="35"/>
      <c r="L72" s="35"/>
      <c r="M72" s="35"/>
      <c r="N72" s="35"/>
      <c r="O72" s="35"/>
      <c r="P72" s="35"/>
      <c r="Q72" s="35"/>
      <c r="R72" s="35"/>
      <c r="W72" s="72"/>
      <c r="X72" s="72"/>
      <c r="Y72" s="72"/>
      <c r="AA72" s="87" t="s">
        <v>141</v>
      </c>
      <c r="AB72" s="88" t="s">
        <v>17</v>
      </c>
      <c r="AC72" s="88" t="s">
        <v>0</v>
      </c>
      <c r="AD72" s="89">
        <v>2574.34</v>
      </c>
    </row>
    <row r="73" spans="1:30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5"/>
      <c r="L73" s="35"/>
      <c r="M73" s="35"/>
      <c r="N73" s="35"/>
      <c r="O73" s="35"/>
      <c r="P73" s="35"/>
      <c r="Q73" s="35"/>
      <c r="R73" s="35"/>
      <c r="W73" s="72"/>
      <c r="X73" s="72"/>
      <c r="Y73" s="72"/>
      <c r="AA73" s="87" t="s">
        <v>142</v>
      </c>
      <c r="AB73" s="88" t="s">
        <v>17</v>
      </c>
      <c r="AC73" s="88" t="s">
        <v>0</v>
      </c>
      <c r="AD73" s="89">
        <v>2980.79</v>
      </c>
    </row>
    <row r="74" spans="1:30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5"/>
      <c r="L74" s="35"/>
      <c r="M74" s="35"/>
      <c r="N74" s="35"/>
      <c r="O74" s="35"/>
      <c r="P74" s="35"/>
      <c r="Q74" s="35"/>
      <c r="R74" s="35"/>
      <c r="W74" s="72"/>
      <c r="X74" s="72"/>
      <c r="Y74" s="72"/>
      <c r="AA74" s="87" t="s">
        <v>147</v>
      </c>
      <c r="AB74" s="88" t="s">
        <v>17</v>
      </c>
      <c r="AC74" s="88" t="s">
        <v>0</v>
      </c>
      <c r="AD74" s="89">
        <v>38646.82</v>
      </c>
    </row>
    <row r="75" spans="1:30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5"/>
      <c r="R75" s="35"/>
      <c r="W75" s="72"/>
      <c r="X75" s="72"/>
      <c r="Y75" s="72"/>
      <c r="AA75" s="129" t="s">
        <v>148</v>
      </c>
      <c r="AB75" s="130" t="s">
        <v>17</v>
      </c>
      <c r="AC75" s="130" t="s">
        <v>0</v>
      </c>
      <c r="AD75" s="89">
        <v>1286.92</v>
      </c>
    </row>
    <row r="76" spans="1:30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5"/>
      <c r="L76" s="35"/>
      <c r="M76" s="35"/>
      <c r="N76" s="35"/>
      <c r="O76" s="35"/>
      <c r="P76" s="35"/>
      <c r="Q76" s="35"/>
      <c r="R76" s="35"/>
      <c r="W76" s="72"/>
      <c r="X76" s="72"/>
      <c r="Y76" s="72"/>
      <c r="AA76" s="33" t="s">
        <v>24</v>
      </c>
      <c r="AD76" s="33">
        <v>0</v>
      </c>
    </row>
    <row r="77" spans="1:30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W77" s="72"/>
      <c r="X77" s="72"/>
      <c r="Y77" s="72"/>
      <c r="AA77" s="87" t="s">
        <v>36</v>
      </c>
      <c r="AB77" s="90">
        <v>0.4</v>
      </c>
      <c r="AC77" s="88" t="s">
        <v>17</v>
      </c>
      <c r="AD77" s="89">
        <v>2312.82</v>
      </c>
    </row>
    <row r="78" spans="1:30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W78" s="72"/>
      <c r="X78" s="72"/>
      <c r="Y78" s="72"/>
      <c r="AA78" s="87"/>
      <c r="AB78" s="90"/>
      <c r="AC78" s="88"/>
      <c r="AD78" s="89"/>
    </row>
    <row r="79" spans="1:30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5"/>
      <c r="L79" s="35"/>
      <c r="M79" s="35"/>
      <c r="N79" s="35"/>
      <c r="O79" s="35"/>
      <c r="P79" s="35"/>
      <c r="Q79" s="35"/>
      <c r="R79" s="35"/>
      <c r="W79" s="156" t="s">
        <v>75</v>
      </c>
      <c r="X79" s="156"/>
      <c r="Y79" s="156"/>
      <c r="AA79" s="87"/>
      <c r="AB79" s="90"/>
      <c r="AC79" s="88"/>
      <c r="AD79" s="89"/>
    </row>
    <row r="80" spans="1:30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5"/>
      <c r="L80" s="35"/>
      <c r="M80" s="35"/>
      <c r="N80" s="35"/>
      <c r="O80" s="35"/>
      <c r="P80" s="35"/>
      <c r="Q80" s="35"/>
      <c r="R80" s="35"/>
      <c r="W80" s="122"/>
      <c r="X80" s="122" t="s">
        <v>24</v>
      </c>
      <c r="Y80" s="122"/>
      <c r="AA80" s="87"/>
      <c r="AB80" s="90"/>
      <c r="AC80" s="88"/>
      <c r="AD80" s="89"/>
    </row>
    <row r="81" spans="1:30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5"/>
      <c r="L81" s="35"/>
      <c r="M81" s="35"/>
      <c r="N81" s="35"/>
      <c r="O81" s="35"/>
      <c r="P81" s="35"/>
      <c r="Q81" s="35"/>
      <c r="R81" s="35"/>
      <c r="W81" s="156" t="s">
        <v>71</v>
      </c>
      <c r="X81" s="123" t="s">
        <v>96</v>
      </c>
      <c r="Y81" s="123"/>
      <c r="AA81" s="87"/>
      <c r="AB81" s="90"/>
      <c r="AC81" s="88"/>
      <c r="AD81" s="89"/>
    </row>
    <row r="82" spans="1:30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5"/>
      <c r="M82" s="35"/>
      <c r="N82" s="35"/>
      <c r="O82" s="35"/>
      <c r="P82" s="35"/>
      <c r="Q82" s="35"/>
      <c r="R82" s="35"/>
      <c r="W82" s="156"/>
      <c r="X82" s="123" t="s">
        <v>95</v>
      </c>
      <c r="Y82" s="123">
        <v>412.92</v>
      </c>
      <c r="AA82" s="87"/>
      <c r="AB82" s="90"/>
      <c r="AC82" s="88"/>
      <c r="AD82" s="89"/>
    </row>
    <row r="83" spans="1:32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35"/>
      <c r="N83" s="35"/>
      <c r="O83" s="35"/>
      <c r="P83" s="35"/>
      <c r="Q83" s="35"/>
      <c r="R83" s="35"/>
      <c r="W83" s="156"/>
      <c r="X83" s="123" t="s">
        <v>94</v>
      </c>
      <c r="Y83" s="123">
        <v>412.92</v>
      </c>
      <c r="Z83" s="35"/>
      <c r="AA83" s="87"/>
      <c r="AB83" s="90"/>
      <c r="AC83" s="88"/>
      <c r="AD83" s="89"/>
      <c r="AE83" s="35"/>
      <c r="AF83" s="35"/>
    </row>
    <row r="84" spans="1:32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5"/>
      <c r="L84" s="35"/>
      <c r="M84" s="35"/>
      <c r="N84" s="35"/>
      <c r="O84" s="35"/>
      <c r="P84" s="35"/>
      <c r="Q84" s="35"/>
      <c r="R84" s="35"/>
      <c r="W84" s="156"/>
      <c r="X84" s="123" t="s">
        <v>73</v>
      </c>
      <c r="Y84" s="123">
        <v>412.92</v>
      </c>
      <c r="Z84" s="35"/>
      <c r="AA84" s="87"/>
      <c r="AB84" s="90"/>
      <c r="AC84" s="88"/>
      <c r="AD84" s="89"/>
      <c r="AE84" s="35"/>
      <c r="AF84" s="35"/>
    </row>
    <row r="85" spans="1:32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5"/>
      <c r="L85" s="35"/>
      <c r="M85" s="35"/>
      <c r="N85" s="35"/>
      <c r="O85" s="35"/>
      <c r="P85" s="35"/>
      <c r="Q85" s="35"/>
      <c r="R85" s="35"/>
      <c r="W85" s="122"/>
      <c r="X85" s="123" t="s">
        <v>24</v>
      </c>
      <c r="Y85" s="123"/>
      <c r="Z85" s="35"/>
      <c r="AA85" s="87"/>
      <c r="AB85" s="90"/>
      <c r="AC85" s="88"/>
      <c r="AD85" s="89"/>
      <c r="AE85" s="35"/>
      <c r="AF85" s="35"/>
    </row>
    <row r="86" spans="1:32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5"/>
      <c r="L86" s="35"/>
      <c r="M86" s="35"/>
      <c r="N86" s="35"/>
      <c r="O86" s="35"/>
      <c r="P86" s="35"/>
      <c r="Q86" s="35"/>
      <c r="R86" s="35"/>
      <c r="W86" s="156" t="s">
        <v>72</v>
      </c>
      <c r="X86" s="123" t="s">
        <v>96</v>
      </c>
      <c r="Y86" s="123"/>
      <c r="Z86" s="35"/>
      <c r="AA86" s="87"/>
      <c r="AB86" s="90"/>
      <c r="AC86" s="88"/>
      <c r="AD86" s="89"/>
      <c r="AE86" s="35"/>
      <c r="AF86" s="35"/>
    </row>
    <row r="87" spans="1:32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5"/>
      <c r="L87" s="35"/>
      <c r="M87" s="35"/>
      <c r="N87" s="35"/>
      <c r="O87" s="35"/>
      <c r="P87" s="35"/>
      <c r="Q87" s="35"/>
      <c r="R87" s="35"/>
      <c r="W87" s="156"/>
      <c r="X87" s="123" t="s">
        <v>95</v>
      </c>
      <c r="Y87" s="123">
        <v>412.92</v>
      </c>
      <c r="Z87" s="35"/>
      <c r="AA87" s="87"/>
      <c r="AB87" s="90"/>
      <c r="AC87" s="88"/>
      <c r="AD87" s="89"/>
      <c r="AE87" s="35"/>
      <c r="AF87" s="35"/>
    </row>
    <row r="88" spans="1:32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5"/>
      <c r="L88" s="35"/>
      <c r="M88" s="35"/>
      <c r="N88" s="35"/>
      <c r="O88" s="35"/>
      <c r="P88" s="35"/>
      <c r="Q88" s="35"/>
      <c r="R88" s="35"/>
      <c r="W88" s="156"/>
      <c r="X88" s="123" t="s">
        <v>94</v>
      </c>
      <c r="Y88" s="123">
        <v>412.92</v>
      </c>
      <c r="Z88" s="35"/>
      <c r="AA88" s="87"/>
      <c r="AB88" s="90"/>
      <c r="AC88" s="88"/>
      <c r="AD88" s="89"/>
      <c r="AE88" s="35"/>
      <c r="AF88" s="35"/>
    </row>
    <row r="89" spans="1:32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5"/>
      <c r="L89" s="35"/>
      <c r="M89" s="35"/>
      <c r="N89" s="35"/>
      <c r="O89" s="35"/>
      <c r="P89" s="35"/>
      <c r="Q89" s="35"/>
      <c r="R89" s="35"/>
      <c r="W89" s="156"/>
      <c r="X89" s="123" t="s">
        <v>73</v>
      </c>
      <c r="Y89" s="123">
        <v>412.92</v>
      </c>
      <c r="Z89" s="35"/>
      <c r="AA89" s="87"/>
      <c r="AB89" s="90"/>
      <c r="AC89" s="88"/>
      <c r="AD89" s="89"/>
      <c r="AE89" s="35"/>
      <c r="AF89" s="35"/>
    </row>
    <row r="90" spans="1:32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5"/>
      <c r="L90" s="35"/>
      <c r="M90" s="35"/>
      <c r="N90" s="35"/>
      <c r="O90" s="35"/>
      <c r="P90" s="35"/>
      <c r="Q90" s="35"/>
      <c r="R90" s="35"/>
      <c r="W90" s="72"/>
      <c r="X90" s="72"/>
      <c r="Y90" s="72"/>
      <c r="Z90" s="35"/>
      <c r="AA90" s="87"/>
      <c r="AB90" s="90"/>
      <c r="AC90" s="88"/>
      <c r="AD90" s="89"/>
      <c r="AE90" s="35"/>
      <c r="AF90" s="35"/>
    </row>
    <row r="91" spans="1:30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5"/>
      <c r="L91" s="35"/>
      <c r="M91" s="35"/>
      <c r="N91" s="35"/>
      <c r="O91" s="35"/>
      <c r="P91" s="35"/>
      <c r="Q91" s="35"/>
      <c r="R91" s="35"/>
      <c r="W91" s="72"/>
      <c r="X91" s="72"/>
      <c r="Y91" s="72"/>
      <c r="AA91" s="87"/>
      <c r="AB91" s="90"/>
      <c r="AC91" s="88"/>
      <c r="AD91" s="89"/>
    </row>
    <row r="92" spans="1:30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5"/>
      <c r="L92" s="35"/>
      <c r="M92" s="35"/>
      <c r="N92" s="35"/>
      <c r="O92" s="35"/>
      <c r="P92" s="35"/>
      <c r="Q92" s="35"/>
      <c r="R92" s="35"/>
      <c r="W92" s="156"/>
      <c r="X92" s="156"/>
      <c r="Y92" s="156"/>
      <c r="AA92" s="87"/>
      <c r="AB92" s="90"/>
      <c r="AC92" s="88"/>
      <c r="AD92" s="89"/>
    </row>
    <row r="93" spans="1:3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W93" s="156"/>
      <c r="X93" s="123"/>
      <c r="Y93" s="72"/>
      <c r="AA93" s="87"/>
      <c r="AB93" s="90"/>
      <c r="AC93" s="88"/>
      <c r="AD93" s="89"/>
    </row>
    <row r="94" spans="1:3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W94" s="156"/>
      <c r="X94" s="123"/>
      <c r="Y94" s="123"/>
      <c r="AA94" s="87"/>
      <c r="AB94" s="90"/>
      <c r="AC94" s="88"/>
      <c r="AD94" s="89"/>
    </row>
    <row r="95" spans="1:3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W95" s="122"/>
      <c r="X95" s="72"/>
      <c r="Y95" s="72"/>
      <c r="AA95" s="87"/>
      <c r="AB95" s="90"/>
      <c r="AC95" s="88"/>
      <c r="AD95" s="89"/>
    </row>
    <row r="96" spans="1:2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W96" s="156"/>
      <c r="X96" s="123"/>
      <c r="Y96" s="72"/>
    </row>
    <row r="97" spans="1:3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W97" s="156"/>
      <c r="X97" s="123"/>
      <c r="Y97" s="72"/>
      <c r="AA97" s="87"/>
      <c r="AB97" s="90"/>
      <c r="AC97" s="88"/>
      <c r="AD97" s="89"/>
    </row>
    <row r="98" spans="1:3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W98" s="72"/>
      <c r="X98" s="123"/>
      <c r="Y98" s="72"/>
      <c r="AA98" s="87"/>
      <c r="AB98" s="90"/>
      <c r="AC98" s="88"/>
      <c r="AD98" s="89"/>
    </row>
    <row r="99" spans="1:3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W99" s="122"/>
      <c r="X99" s="122"/>
      <c r="Y99" s="122"/>
      <c r="AA99" s="87"/>
      <c r="AB99" s="90"/>
      <c r="AC99" s="88"/>
      <c r="AD99" s="89"/>
    </row>
    <row r="100" spans="1:2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W100" s="156"/>
      <c r="X100" s="123"/>
      <c r="Y100" s="123"/>
    </row>
    <row r="101" spans="1:2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W101" s="156"/>
      <c r="X101" s="123"/>
      <c r="Y101" s="123"/>
    </row>
    <row r="102" spans="1:2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W102" s="122"/>
      <c r="X102" s="72"/>
      <c r="Y102" s="72"/>
    </row>
    <row r="103" spans="1:29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W103" s="156"/>
      <c r="X103" s="123"/>
      <c r="Y103" s="72"/>
      <c r="AC103" s="88"/>
    </row>
    <row r="104" spans="1:3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W104" s="156"/>
      <c r="X104" s="123"/>
      <c r="Y104" s="72"/>
      <c r="AA104" s="82" t="s">
        <v>24</v>
      </c>
      <c r="AB104" s="88"/>
      <c r="AC104" s="88" t="s">
        <v>17</v>
      </c>
      <c r="AD104" s="89"/>
    </row>
    <row r="105" spans="1:3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W105" s="156"/>
      <c r="X105" s="123"/>
      <c r="Y105" s="72"/>
      <c r="AA105" s="87" t="s">
        <v>161</v>
      </c>
      <c r="AB105" s="88" t="s">
        <v>0</v>
      </c>
      <c r="AC105" s="88" t="s">
        <v>17</v>
      </c>
      <c r="AD105" s="89">
        <v>1433.58</v>
      </c>
    </row>
    <row r="106" spans="1:3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W106" s="72"/>
      <c r="X106" s="72"/>
      <c r="Y106" s="72"/>
      <c r="AA106" s="87"/>
      <c r="AB106" s="88"/>
      <c r="AC106" s="88"/>
      <c r="AD106" s="89"/>
    </row>
    <row r="107" spans="1:3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W107" s="72"/>
      <c r="X107" s="72">
        <v>1</v>
      </c>
      <c r="Y107" s="72"/>
      <c r="AA107" s="87"/>
      <c r="AB107" s="88"/>
      <c r="AC107" s="88"/>
      <c r="AD107" s="89"/>
    </row>
    <row r="108" spans="1:2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W108" s="72"/>
      <c r="X108" s="72">
        <v>2</v>
      </c>
      <c r="Y108" s="72"/>
    </row>
    <row r="109" spans="1:30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W109" s="72"/>
      <c r="X109" s="72">
        <v>3</v>
      </c>
      <c r="Y109" s="72"/>
      <c r="AA109" s="87"/>
      <c r="AB109" s="88"/>
      <c r="AC109" s="88"/>
      <c r="AD109" s="89"/>
    </row>
    <row r="110" spans="1:3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W110" s="72"/>
      <c r="X110" s="72">
        <v>4</v>
      </c>
      <c r="Y110" s="72"/>
      <c r="AA110" s="87"/>
      <c r="AB110" s="88"/>
      <c r="AC110" s="88"/>
      <c r="AD110" s="89"/>
    </row>
    <row r="111" spans="1:3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W111" s="72"/>
      <c r="X111" s="72"/>
      <c r="Y111" s="72"/>
      <c r="AA111" s="87"/>
      <c r="AB111" s="88"/>
      <c r="AC111" s="88"/>
      <c r="AD111" s="89"/>
    </row>
    <row r="112" spans="1:3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W112" s="72"/>
      <c r="X112" s="72"/>
      <c r="Y112" s="72"/>
      <c r="AA112" s="87"/>
      <c r="AB112" s="88"/>
      <c r="AC112" s="88"/>
      <c r="AD112" s="89"/>
    </row>
    <row r="113" spans="1:3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AA113" s="87"/>
      <c r="AB113" s="88"/>
      <c r="AC113" s="88"/>
      <c r="AD113" s="89"/>
    </row>
    <row r="114" spans="27:30" ht="15">
      <c r="AA114" s="87"/>
      <c r="AB114" s="88"/>
      <c r="AC114" s="88"/>
      <c r="AD114" s="89"/>
    </row>
    <row r="115" spans="27:30" ht="15">
      <c r="AA115" s="87"/>
      <c r="AB115" s="88"/>
      <c r="AC115" s="88"/>
      <c r="AD115" s="89"/>
    </row>
    <row r="116" spans="27:30" ht="15">
      <c r="AA116" s="99"/>
      <c r="AB116" s="88"/>
      <c r="AC116" s="88"/>
      <c r="AD116" s="100"/>
    </row>
    <row r="117" spans="27:29" ht="15">
      <c r="AA117" s="33" t="s">
        <v>24</v>
      </c>
      <c r="AC117" s="33">
        <v>0</v>
      </c>
    </row>
    <row r="118" spans="27:29" ht="15">
      <c r="AA118" s="91" t="s">
        <v>273</v>
      </c>
      <c r="AB118" s="92" t="s">
        <v>17</v>
      </c>
      <c r="AC118" s="93">
        <v>10095.81</v>
      </c>
    </row>
    <row r="119" spans="27:29" ht="15">
      <c r="AA119" s="91" t="s">
        <v>274</v>
      </c>
      <c r="AB119" s="92" t="s">
        <v>17</v>
      </c>
      <c r="AC119" s="93">
        <v>5054.85</v>
      </c>
    </row>
    <row r="120" spans="27:29" ht="15">
      <c r="AA120" s="91" t="s">
        <v>275</v>
      </c>
      <c r="AB120" s="92" t="s">
        <v>17</v>
      </c>
      <c r="AC120" s="93">
        <v>3437.12</v>
      </c>
    </row>
    <row r="121" spans="27:29" ht="15">
      <c r="AA121" s="91" t="s">
        <v>276</v>
      </c>
      <c r="AB121" s="92" t="s">
        <v>17</v>
      </c>
      <c r="AC121" s="93">
        <v>2348.52</v>
      </c>
    </row>
    <row r="122" spans="27:29" ht="15">
      <c r="AA122" s="91" t="s">
        <v>11</v>
      </c>
      <c r="AB122" s="92" t="s">
        <v>17</v>
      </c>
      <c r="AC122" s="93">
        <v>3577.28</v>
      </c>
    </row>
    <row r="123" spans="27:29" ht="15">
      <c r="AA123" s="91" t="s">
        <v>12</v>
      </c>
      <c r="AB123" s="92" t="s">
        <v>17</v>
      </c>
      <c r="AC123" s="93">
        <v>3389.3</v>
      </c>
    </row>
    <row r="124" spans="27:29" ht="15">
      <c r="AA124" s="91" t="s">
        <v>80</v>
      </c>
      <c r="AB124" s="92" t="s">
        <v>17</v>
      </c>
      <c r="AC124" s="93">
        <v>2356.85</v>
      </c>
    </row>
    <row r="125" spans="27:29" ht="15">
      <c r="AA125" s="91" t="s">
        <v>6</v>
      </c>
      <c r="AB125" s="92" t="s">
        <v>17</v>
      </c>
      <c r="AC125" s="93">
        <v>4152.42</v>
      </c>
    </row>
    <row r="126" spans="27:29" ht="15">
      <c r="AA126" s="91" t="s">
        <v>7</v>
      </c>
      <c r="AB126" s="92" t="s">
        <v>17</v>
      </c>
      <c r="AC126" s="93">
        <v>3073.08</v>
      </c>
    </row>
    <row r="127" spans="27:29" ht="15">
      <c r="AA127" s="91" t="s">
        <v>9</v>
      </c>
      <c r="AB127" s="92" t="s">
        <v>17</v>
      </c>
      <c r="AC127" s="93">
        <v>4627.57</v>
      </c>
    </row>
    <row r="128" spans="27:29" ht="15">
      <c r="AA128" s="91" t="s">
        <v>10</v>
      </c>
      <c r="AB128" s="92" t="s">
        <v>17</v>
      </c>
      <c r="AC128" s="93">
        <v>3198.51</v>
      </c>
    </row>
    <row r="129" spans="27:29" ht="15">
      <c r="AA129" s="91" t="s">
        <v>8</v>
      </c>
      <c r="AB129" s="92" t="s">
        <v>17</v>
      </c>
      <c r="AC129" s="93">
        <v>3016.48</v>
      </c>
    </row>
    <row r="130" spans="27:29" ht="15">
      <c r="AA130" s="91" t="s">
        <v>195</v>
      </c>
      <c r="AB130" s="92" t="s">
        <v>17</v>
      </c>
      <c r="AC130" s="93">
        <v>8727</v>
      </c>
    </row>
    <row r="131" spans="27:29" ht="15">
      <c r="AA131" s="91" t="s">
        <v>196</v>
      </c>
      <c r="AB131" s="92" t="s">
        <v>17</v>
      </c>
      <c r="AC131" s="93">
        <v>6549.1</v>
      </c>
    </row>
    <row r="132" spans="27:29" ht="15">
      <c r="AA132" s="91" t="s">
        <v>197</v>
      </c>
      <c r="AB132" s="92" t="s">
        <v>17</v>
      </c>
      <c r="AC132" s="93">
        <v>4479.61</v>
      </c>
    </row>
    <row r="133" spans="27:29" ht="15">
      <c r="AA133" s="91" t="s">
        <v>198</v>
      </c>
      <c r="AB133" s="92" t="s">
        <v>17</v>
      </c>
      <c r="AC133" s="93">
        <v>3395.58</v>
      </c>
    </row>
    <row r="134" spans="27:29" ht="15">
      <c r="AA134" s="91" t="s">
        <v>199</v>
      </c>
      <c r="AB134" s="92" t="s">
        <v>17</v>
      </c>
      <c r="AC134" s="93">
        <v>3382.82</v>
      </c>
    </row>
    <row r="135" spans="27:29" ht="15">
      <c r="AA135" s="91" t="s">
        <v>200</v>
      </c>
      <c r="AB135" s="92" t="s">
        <v>17</v>
      </c>
      <c r="AC135" s="93">
        <v>2492.66</v>
      </c>
    </row>
    <row r="136" spans="27:29" ht="15">
      <c r="AA136" s="91" t="s">
        <v>201</v>
      </c>
      <c r="AB136" s="92" t="s">
        <v>17</v>
      </c>
      <c r="AC136" s="93">
        <v>1948.98</v>
      </c>
    </row>
    <row r="137" spans="27:29" ht="15">
      <c r="AA137" s="91" t="s">
        <v>203</v>
      </c>
      <c r="AB137" s="92" t="s">
        <v>17</v>
      </c>
      <c r="AC137" s="93">
        <v>7018.16</v>
      </c>
    </row>
    <row r="138" spans="27:29" ht="15">
      <c r="AA138" s="91" t="s">
        <v>202</v>
      </c>
      <c r="AB138" s="92" t="s">
        <v>17</v>
      </c>
      <c r="AC138" s="93">
        <v>6091.93</v>
      </c>
    </row>
    <row r="139" spans="27:29" ht="15">
      <c r="AA139" s="91" t="s">
        <v>204</v>
      </c>
      <c r="AB139" s="92" t="s">
        <v>17</v>
      </c>
      <c r="AC139" s="93">
        <v>4321.7</v>
      </c>
    </row>
    <row r="140" spans="27:29" ht="15">
      <c r="AA140" s="91" t="s">
        <v>205</v>
      </c>
      <c r="AB140" s="92" t="s">
        <v>17</v>
      </c>
      <c r="AC140" s="93">
        <v>3198.3</v>
      </c>
    </row>
    <row r="141" spans="27:29" ht="15">
      <c r="AA141" s="91" t="s">
        <v>206</v>
      </c>
      <c r="AB141" s="92" t="s">
        <v>17</v>
      </c>
      <c r="AC141" s="93">
        <v>2230.86</v>
      </c>
    </row>
    <row r="142" spans="27:29" ht="15">
      <c r="AA142" s="91" t="s">
        <v>207</v>
      </c>
      <c r="AB142" s="92" t="s">
        <v>17</v>
      </c>
      <c r="AC142" s="93">
        <v>12292.21</v>
      </c>
    </row>
    <row r="143" spans="27:29" ht="15">
      <c r="AA143" s="91" t="s">
        <v>208</v>
      </c>
      <c r="AB143" s="92" t="s">
        <v>17</v>
      </c>
      <c r="AC143" s="93">
        <v>7810.57</v>
      </c>
    </row>
    <row r="144" spans="27:29" ht="15">
      <c r="AA144" s="91" t="s">
        <v>209</v>
      </c>
      <c r="AB144" s="92" t="s">
        <v>17</v>
      </c>
      <c r="AC144" s="93">
        <v>5859.78</v>
      </c>
    </row>
    <row r="145" spans="27:29" ht="15">
      <c r="AA145" s="91" t="s">
        <v>210</v>
      </c>
      <c r="AB145" s="92" t="s">
        <v>17</v>
      </c>
      <c r="AC145" s="93">
        <v>4165.84</v>
      </c>
    </row>
    <row r="146" spans="27:29" ht="15">
      <c r="AA146" s="91" t="s">
        <v>211</v>
      </c>
      <c r="AB146" s="92" t="s">
        <v>17</v>
      </c>
      <c r="AC146" s="93">
        <v>9349.11</v>
      </c>
    </row>
    <row r="147" spans="27:29" ht="15">
      <c r="AA147" s="91" t="s">
        <v>212</v>
      </c>
      <c r="AB147" s="92" t="s">
        <v>17</v>
      </c>
      <c r="AC147" s="93">
        <v>6182.24</v>
      </c>
    </row>
    <row r="148" spans="27:29" ht="15">
      <c r="AA148" s="91" t="s">
        <v>213</v>
      </c>
      <c r="AB148" s="92" t="s">
        <v>17</v>
      </c>
      <c r="AC148" s="93">
        <v>4159.53</v>
      </c>
    </row>
    <row r="149" spans="27:29" ht="15">
      <c r="AA149" s="91" t="s">
        <v>214</v>
      </c>
      <c r="AB149" s="92" t="s">
        <v>17</v>
      </c>
      <c r="AC149" s="93">
        <v>7980.24</v>
      </c>
    </row>
    <row r="150" spans="27:29" ht="15">
      <c r="AA150" s="33" t="s">
        <v>24</v>
      </c>
      <c r="AB150" s="92"/>
      <c r="AC150" s="33">
        <v>0</v>
      </c>
    </row>
    <row r="151" spans="27:29" ht="15">
      <c r="AA151" s="91" t="s">
        <v>215</v>
      </c>
      <c r="AB151" s="92" t="s">
        <v>17</v>
      </c>
      <c r="AC151" s="93">
        <v>4830.03</v>
      </c>
    </row>
    <row r="152" spans="27:29" ht="15">
      <c r="AA152" s="91" t="s">
        <v>216</v>
      </c>
      <c r="AB152" s="92" t="s">
        <v>17</v>
      </c>
      <c r="AC152" s="93">
        <v>2400.73</v>
      </c>
    </row>
  </sheetData>
  <sheetProtection password="CA9C" sheet="1"/>
  <mergeCells count="36">
    <mergeCell ref="AA50:AD50"/>
    <mergeCell ref="A23:C23"/>
    <mergeCell ref="H23:J23"/>
    <mergeCell ref="A46:M71"/>
    <mergeCell ref="H15:J15"/>
    <mergeCell ref="H14:J14"/>
    <mergeCell ref="B39:M39"/>
    <mergeCell ref="H25:J25"/>
    <mergeCell ref="A45:M45"/>
    <mergeCell ref="B36:D36"/>
    <mergeCell ref="A9:C9"/>
    <mergeCell ref="A10:C10"/>
    <mergeCell ref="A1:M2"/>
    <mergeCell ref="F12:L12"/>
    <mergeCell ref="H21:J21"/>
    <mergeCell ref="H17:J17"/>
    <mergeCell ref="A11:C11"/>
    <mergeCell ref="H18:J18"/>
    <mergeCell ref="H20:J20"/>
    <mergeCell ref="E36:I36"/>
    <mergeCell ref="H26:J26"/>
    <mergeCell ref="H22:J22"/>
    <mergeCell ref="A22:C22"/>
    <mergeCell ref="W86:W89"/>
    <mergeCell ref="E34:I34"/>
    <mergeCell ref="B38:M38"/>
    <mergeCell ref="B34:D34"/>
    <mergeCell ref="B41:M41"/>
    <mergeCell ref="W93:W94"/>
    <mergeCell ref="W100:W101"/>
    <mergeCell ref="W103:W105"/>
    <mergeCell ref="W96:W97"/>
    <mergeCell ref="W50:Y50"/>
    <mergeCell ref="W79:Y79"/>
    <mergeCell ref="W81:W84"/>
    <mergeCell ref="W92:Y92"/>
  </mergeCells>
  <dataValidations count="11">
    <dataValidation type="list" allowBlank="1" showInputMessage="1" showErrorMessage="1" sqref="D14">
      <formula1>$X$51:$X$55</formula1>
    </dataValidation>
    <dataValidation type="list" allowBlank="1" showInputMessage="1" showErrorMessage="1" sqref="D15">
      <formula1>$X$56:$X$60</formula1>
    </dataValidation>
    <dataValidation type="list" allowBlank="1" showInputMessage="1" showErrorMessage="1" sqref="D17">
      <formula1>$AA$51:$AA$66</formula1>
    </dataValidation>
    <dataValidation type="list" allowBlank="1" showInputMessage="1" showErrorMessage="1" sqref="D18">
      <formula1>$AA$69:$AA$75</formula1>
    </dataValidation>
    <dataValidation type="list" allowBlank="1" showInputMessage="1" showErrorMessage="1" sqref="D23">
      <formula1>$AA$150:$AA$152</formula1>
    </dataValidation>
    <dataValidation type="list" allowBlank="1" showInputMessage="1" showErrorMessage="1" sqref="D25">
      <formula1>$X$80:$X$84</formula1>
    </dataValidation>
    <dataValidation type="list" allowBlank="1" showInputMessage="1" showErrorMessage="1" sqref="D26">
      <formula1>$X$85:$X$89</formula1>
    </dataValidation>
    <dataValidation type="list" allowBlank="1" showInputMessage="1" showErrorMessage="1" sqref="D8">
      <formula1>$X$107:$X$110</formula1>
    </dataValidation>
    <dataValidation type="list" allowBlank="1" showInputMessage="1" showErrorMessage="1" sqref="D22">
      <formula1>$AA$117:$AA$149</formula1>
    </dataValidation>
    <dataValidation type="list" allowBlank="1" showInputMessage="1" showErrorMessage="1" sqref="D20">
      <formula1>$AA$76:$AA$99</formula1>
    </dataValidation>
    <dataValidation type="list" allowBlank="1" showInputMessage="1" showErrorMessage="1" sqref="D21">
      <formula1>$AA$104:$AA$116</formula1>
    </dataValidation>
  </dataValidations>
  <printOptions/>
  <pageMargins left="0.7874015748031497" right="0.31496062992125984" top="0.31496062992125984" bottom="0.5905511811023623" header="0.31496062992125984" footer="0.31496062992125984"/>
  <pageSetup fitToHeight="0" fitToWidth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4" tint="0.5999900102615356"/>
  </sheetPr>
  <dimension ref="A1:AO194"/>
  <sheetViews>
    <sheetView zoomScalePageLayoutView="0" workbookViewId="0" topLeftCell="X1">
      <selection activeCell="AE7" sqref="AE7"/>
    </sheetView>
  </sheetViews>
  <sheetFormatPr defaultColWidth="9.421875" defaultRowHeight="15" outlineLevelRow="1"/>
  <cols>
    <col min="1" max="1" width="31.140625" style="33" hidden="1" customWidth="1"/>
    <col min="2" max="23" width="9.421875" style="33" hidden="1" customWidth="1"/>
    <col min="24" max="24" width="9.421875" style="33" customWidth="1"/>
    <col min="25" max="25" width="20.28125" style="33" customWidth="1"/>
    <col min="26" max="26" width="19.00390625" style="33" customWidth="1"/>
    <col min="27" max="27" width="11.7109375" style="33" customWidth="1"/>
    <col min="28" max="28" width="8.28125" style="33" customWidth="1"/>
    <col min="29" max="29" width="9.421875" style="33" hidden="1" customWidth="1"/>
    <col min="30" max="30" width="0.13671875" style="33" customWidth="1"/>
    <col min="31" max="31" width="14.140625" style="33" customWidth="1"/>
    <col min="32" max="32" width="7.8515625" style="33" customWidth="1"/>
    <col min="33" max="33" width="0.13671875" style="33" hidden="1" customWidth="1"/>
    <col min="34" max="34" width="9.421875" style="33" hidden="1" customWidth="1"/>
    <col min="35" max="16384" width="9.421875" style="33" customWidth="1"/>
  </cols>
  <sheetData>
    <row r="1" spans="1:41" ht="26.25" customHeight="1">
      <c r="A1" s="172"/>
      <c r="B1" s="172"/>
      <c r="C1" s="172"/>
      <c r="D1" s="172"/>
      <c r="E1" s="172"/>
      <c r="F1" s="173"/>
      <c r="G1" s="173"/>
      <c r="H1" s="173"/>
      <c r="I1" s="173"/>
      <c r="J1" s="62"/>
      <c r="K1" s="62"/>
      <c r="L1" s="173"/>
      <c r="M1" s="172"/>
      <c r="N1" s="172"/>
      <c r="O1" s="172"/>
      <c r="P1" s="62"/>
      <c r="Q1" s="62"/>
      <c r="R1" s="173"/>
      <c r="S1" s="172"/>
      <c r="T1" s="172"/>
      <c r="U1" s="62"/>
      <c r="V1" s="63"/>
      <c r="W1" s="63"/>
      <c r="X1" s="174" t="s">
        <v>294</v>
      </c>
      <c r="Y1" s="174"/>
      <c r="Z1" s="174"/>
      <c r="AA1" s="174"/>
      <c r="AB1" s="174"/>
      <c r="AC1" s="174"/>
      <c r="AD1" s="174"/>
      <c r="AE1" s="174"/>
      <c r="AF1" s="174"/>
      <c r="AG1" s="175"/>
      <c r="AH1" s="32"/>
      <c r="AI1" s="32"/>
      <c r="AJ1" s="32"/>
      <c r="AK1" s="32"/>
      <c r="AL1" s="32"/>
      <c r="AM1" s="32"/>
      <c r="AN1" s="32"/>
      <c r="AO1" s="32"/>
    </row>
    <row r="2" spans="1:33" ht="3.75" customHeight="1">
      <c r="A2" s="59"/>
      <c r="B2" s="60"/>
      <c r="C2" s="60"/>
      <c r="D2" s="59"/>
      <c r="E2" s="59"/>
      <c r="F2" s="61"/>
      <c r="G2" s="61"/>
      <c r="H2" s="61"/>
      <c r="I2" s="61"/>
      <c r="J2" s="62"/>
      <c r="K2" s="62"/>
      <c r="L2" s="61"/>
      <c r="M2" s="59"/>
      <c r="N2" s="59"/>
      <c r="O2" s="59"/>
      <c r="P2" s="62"/>
      <c r="Q2" s="62"/>
      <c r="R2" s="61"/>
      <c r="S2" s="59"/>
      <c r="T2" s="59"/>
      <c r="U2" s="62"/>
      <c r="V2" s="63"/>
      <c r="W2" s="63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4" ht="15" customHeight="1">
      <c r="A3" s="64"/>
      <c r="B3" s="65"/>
      <c r="C3" s="66"/>
      <c r="D3" s="59"/>
      <c r="E3" s="59"/>
      <c r="F3" s="62"/>
      <c r="G3" s="67"/>
      <c r="H3" s="67"/>
      <c r="I3" s="68"/>
      <c r="J3" s="62"/>
      <c r="K3" s="62"/>
      <c r="L3" s="62"/>
      <c r="M3" s="69"/>
      <c r="N3" s="67"/>
      <c r="O3" s="68"/>
      <c r="P3" s="62"/>
      <c r="Q3" s="62"/>
      <c r="R3" s="62"/>
      <c r="S3" s="67"/>
      <c r="T3" s="68"/>
      <c r="U3" s="62"/>
      <c r="V3" s="63"/>
      <c r="W3" s="63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</row>
    <row r="4" spans="1:34" ht="15" customHeight="1">
      <c r="A4" s="64"/>
      <c r="B4" s="65"/>
      <c r="C4" s="66"/>
      <c r="D4" s="59"/>
      <c r="E4" s="59"/>
      <c r="F4" s="62"/>
      <c r="G4" s="67"/>
      <c r="H4" s="67"/>
      <c r="I4" s="68"/>
      <c r="J4" s="62"/>
      <c r="K4" s="62"/>
      <c r="L4" s="62"/>
      <c r="M4" s="69"/>
      <c r="N4" s="67"/>
      <c r="O4" s="68"/>
      <c r="P4" s="62"/>
      <c r="Q4" s="62"/>
      <c r="R4" s="62"/>
      <c r="S4" s="67"/>
      <c r="T4" s="68"/>
      <c r="U4" s="62"/>
      <c r="V4" s="63"/>
      <c r="W4" s="63"/>
      <c r="X4" s="12" t="s">
        <v>50</v>
      </c>
      <c r="Y4" s="13"/>
      <c r="Z4" s="13"/>
      <c r="AB4" s="7"/>
      <c r="AC4" s="8"/>
      <c r="AD4" s="8"/>
      <c r="AE4" s="8"/>
      <c r="AF4" s="4"/>
      <c r="AG4" s="8"/>
      <c r="AH4" s="11"/>
    </row>
    <row r="5" spans="1:38" ht="15" customHeight="1">
      <c r="A5" s="64"/>
      <c r="B5" s="65"/>
      <c r="C5" s="66"/>
      <c r="D5" s="59"/>
      <c r="E5" s="59"/>
      <c r="F5" s="62"/>
      <c r="G5" s="67"/>
      <c r="H5" s="67"/>
      <c r="I5" s="68"/>
      <c r="J5" s="62"/>
      <c r="K5" s="62"/>
      <c r="L5" s="62"/>
      <c r="M5" s="69"/>
      <c r="N5" s="67"/>
      <c r="O5" s="68"/>
      <c r="P5" s="62"/>
      <c r="Q5" s="62"/>
      <c r="R5" s="62"/>
      <c r="S5" s="67"/>
      <c r="T5" s="68"/>
      <c r="U5" s="62"/>
      <c r="V5" s="63"/>
      <c r="W5" s="63"/>
      <c r="X5" s="12" t="s">
        <v>51</v>
      </c>
      <c r="Y5" s="13"/>
      <c r="Z5" s="13"/>
      <c r="AA5" s="7"/>
      <c r="AB5" s="8"/>
      <c r="AC5" s="8"/>
      <c r="AD5" s="8"/>
      <c r="AE5" s="8"/>
      <c r="AF5" s="4"/>
      <c r="AG5" s="8"/>
      <c r="AH5" s="11"/>
      <c r="AL5" s="13"/>
    </row>
    <row r="6" spans="1:34" ht="15" customHeight="1">
      <c r="A6" s="64"/>
      <c r="B6" s="65"/>
      <c r="C6" s="66"/>
      <c r="D6" s="59"/>
      <c r="E6" s="59"/>
      <c r="F6" s="62"/>
      <c r="G6" s="67"/>
      <c r="H6" s="67"/>
      <c r="I6" s="68"/>
      <c r="J6" s="62"/>
      <c r="K6" s="62"/>
      <c r="L6" s="62"/>
      <c r="M6" s="69"/>
      <c r="N6" s="67"/>
      <c r="O6" s="68"/>
      <c r="P6" s="62"/>
      <c r="Q6" s="62"/>
      <c r="R6" s="62"/>
      <c r="S6" s="67"/>
      <c r="T6" s="68"/>
      <c r="U6" s="62"/>
      <c r="V6" s="63"/>
      <c r="W6" s="63"/>
      <c r="X6" s="12" t="s">
        <v>52</v>
      </c>
      <c r="Y6" s="13"/>
      <c r="Z6" s="13"/>
      <c r="AA6" s="7"/>
      <c r="AB6" s="8"/>
      <c r="AC6" s="8"/>
      <c r="AD6" s="8"/>
      <c r="AE6" s="8"/>
      <c r="AF6" s="4"/>
      <c r="AG6" s="8"/>
      <c r="AH6" s="11"/>
    </row>
    <row r="7" spans="1:34" ht="15">
      <c r="A7" s="64"/>
      <c r="B7" s="70"/>
      <c r="C7" s="66"/>
      <c r="D7" s="67"/>
      <c r="E7" s="71"/>
      <c r="F7" s="62"/>
      <c r="G7" s="67"/>
      <c r="H7" s="67"/>
      <c r="I7" s="68"/>
      <c r="J7" s="62"/>
      <c r="K7" s="62"/>
      <c r="L7" s="62"/>
      <c r="M7" s="69"/>
      <c r="N7" s="67"/>
      <c r="O7" s="68"/>
      <c r="P7" s="62"/>
      <c r="Q7" s="62"/>
      <c r="R7" s="62"/>
      <c r="S7" s="67"/>
      <c r="T7" s="68"/>
      <c r="U7" s="62"/>
      <c r="V7" s="63"/>
      <c r="W7" s="63"/>
      <c r="X7" s="28"/>
      <c r="Y7" s="28"/>
      <c r="Z7" s="28"/>
      <c r="AA7" s="28"/>
      <c r="AB7" s="28"/>
      <c r="AC7" s="28"/>
      <c r="AD7" s="28"/>
      <c r="AE7" s="14"/>
      <c r="AF7" s="14"/>
      <c r="AG7" s="10"/>
      <c r="AH7" s="11"/>
    </row>
    <row r="8" spans="1:33" ht="15">
      <c r="A8" s="64"/>
      <c r="B8" s="70"/>
      <c r="C8" s="66"/>
      <c r="D8" s="67"/>
      <c r="E8" s="71"/>
      <c r="F8" s="62"/>
      <c r="G8" s="67"/>
      <c r="H8" s="67"/>
      <c r="I8" s="68"/>
      <c r="J8" s="62"/>
      <c r="K8" s="62"/>
      <c r="L8" s="62"/>
      <c r="M8" s="69"/>
      <c r="N8" s="67"/>
      <c r="O8" s="68"/>
      <c r="P8" s="62"/>
      <c r="Q8" s="62"/>
      <c r="R8" s="62"/>
      <c r="S8" s="67"/>
      <c r="T8" s="68"/>
      <c r="U8" s="62"/>
      <c r="V8" s="63"/>
      <c r="W8" s="63"/>
      <c r="X8" s="147"/>
      <c r="Y8" s="147"/>
      <c r="Z8" s="147"/>
      <c r="AA8" s="5">
        <v>0</v>
      </c>
      <c r="AB8" s="36"/>
      <c r="AC8" s="36"/>
      <c r="AD8" s="36"/>
      <c r="AE8" s="37"/>
      <c r="AF8" s="37"/>
      <c r="AG8" s="38"/>
    </row>
    <row r="9" spans="1:33" ht="15" hidden="1">
      <c r="A9" s="64"/>
      <c r="B9" s="70"/>
      <c r="C9" s="66"/>
      <c r="D9" s="67"/>
      <c r="E9" s="71"/>
      <c r="F9" s="62"/>
      <c r="G9" s="67"/>
      <c r="H9" s="67"/>
      <c r="I9" s="68"/>
      <c r="J9" s="62"/>
      <c r="K9" s="62"/>
      <c r="L9" s="62"/>
      <c r="M9" s="69"/>
      <c r="N9" s="67"/>
      <c r="O9" s="68"/>
      <c r="P9" s="62"/>
      <c r="Q9" s="62"/>
      <c r="R9" s="62"/>
      <c r="S9" s="67"/>
      <c r="T9" s="68"/>
      <c r="U9" s="62"/>
      <c r="V9" s="63"/>
      <c r="W9" s="63"/>
      <c r="X9" s="146"/>
      <c r="Y9" s="153"/>
      <c r="Z9" s="153"/>
      <c r="AA9" s="5">
        <v>0</v>
      </c>
      <c r="AB9" s="36"/>
      <c r="AC9" s="36"/>
      <c r="AD9" s="36"/>
      <c r="AE9" s="37"/>
      <c r="AF9" s="37"/>
      <c r="AG9" s="38"/>
    </row>
    <row r="10" spans="1:33" ht="15" hidden="1" outlineLevel="1">
      <c r="A10" s="64"/>
      <c r="B10" s="70"/>
      <c r="C10" s="66"/>
      <c r="D10" s="67"/>
      <c r="E10" s="71"/>
      <c r="F10" s="62"/>
      <c r="G10" s="67"/>
      <c r="H10" s="67"/>
      <c r="I10" s="68"/>
      <c r="J10" s="62"/>
      <c r="K10" s="62"/>
      <c r="L10" s="62"/>
      <c r="M10" s="69"/>
      <c r="N10" s="67"/>
      <c r="O10" s="68"/>
      <c r="P10" s="62"/>
      <c r="Q10" s="62"/>
      <c r="R10" s="62"/>
      <c r="S10" s="67"/>
      <c r="T10" s="68"/>
      <c r="U10" s="62"/>
      <c r="V10" s="63"/>
      <c r="W10" s="63"/>
      <c r="X10" s="147"/>
      <c r="Y10" s="147"/>
      <c r="Z10" s="147"/>
      <c r="AA10" s="5">
        <v>0</v>
      </c>
      <c r="AB10" s="36"/>
      <c r="AC10" s="36"/>
      <c r="AD10" s="36"/>
      <c r="AE10" s="37"/>
      <c r="AF10" s="37"/>
      <c r="AG10" s="38"/>
    </row>
    <row r="11" spans="1:33" ht="15" hidden="1">
      <c r="A11" s="64"/>
      <c r="B11" s="70"/>
      <c r="C11" s="66"/>
      <c r="D11" s="67"/>
      <c r="E11" s="71"/>
      <c r="F11" s="62"/>
      <c r="G11" s="67"/>
      <c r="H11" s="67"/>
      <c r="I11" s="68"/>
      <c r="J11" s="62"/>
      <c r="K11" s="62"/>
      <c r="L11" s="62"/>
      <c r="M11" s="69"/>
      <c r="N11" s="67"/>
      <c r="O11" s="68"/>
      <c r="P11" s="62"/>
      <c r="Q11" s="62"/>
      <c r="R11" s="62"/>
      <c r="S11" s="67"/>
      <c r="T11" s="68"/>
      <c r="U11" s="62"/>
      <c r="V11" s="63"/>
      <c r="W11" s="63"/>
      <c r="X11" s="147"/>
      <c r="Y11" s="145"/>
      <c r="Z11" s="145"/>
      <c r="AA11" s="5">
        <v>0</v>
      </c>
      <c r="AB11" s="36"/>
      <c r="AC11" s="36"/>
      <c r="AD11" s="36"/>
      <c r="AE11" s="37"/>
      <c r="AF11" s="37"/>
      <c r="AG11" s="38"/>
    </row>
    <row r="12" spans="1:33" ht="15" hidden="1">
      <c r="A12" s="64"/>
      <c r="B12" s="70"/>
      <c r="C12" s="66"/>
      <c r="D12" s="67"/>
      <c r="E12" s="71"/>
      <c r="F12" s="62"/>
      <c r="G12" s="67"/>
      <c r="H12" s="67"/>
      <c r="I12" s="68"/>
      <c r="J12" s="62"/>
      <c r="K12" s="62"/>
      <c r="L12" s="62"/>
      <c r="M12" s="69"/>
      <c r="N12" s="67"/>
      <c r="O12" s="68"/>
      <c r="P12" s="62"/>
      <c r="Q12" s="62"/>
      <c r="R12" s="62"/>
      <c r="S12" s="67"/>
      <c r="T12" s="68"/>
      <c r="U12" s="62"/>
      <c r="V12" s="63"/>
      <c r="W12" s="63"/>
      <c r="X12" s="146"/>
      <c r="Y12" s="146"/>
      <c r="Z12" s="146"/>
      <c r="AA12" s="5">
        <v>0</v>
      </c>
      <c r="AB12" s="36"/>
      <c r="AC12" s="36"/>
      <c r="AD12" s="36"/>
      <c r="AE12" s="37"/>
      <c r="AF12" s="37"/>
      <c r="AG12" s="38"/>
    </row>
    <row r="13" spans="1:33" ht="15" hidden="1">
      <c r="A13" s="64"/>
      <c r="B13" s="70"/>
      <c r="C13" s="66"/>
      <c r="D13" s="67"/>
      <c r="E13" s="71"/>
      <c r="F13" s="62"/>
      <c r="G13" s="67"/>
      <c r="H13" s="67"/>
      <c r="I13" s="68"/>
      <c r="J13" s="62"/>
      <c r="K13" s="62"/>
      <c r="L13" s="62"/>
      <c r="M13" s="69"/>
      <c r="N13" s="67"/>
      <c r="O13" s="68"/>
      <c r="P13" s="62"/>
      <c r="Q13" s="62"/>
      <c r="R13" s="62"/>
      <c r="S13" s="67"/>
      <c r="T13" s="68"/>
      <c r="U13" s="62"/>
      <c r="V13" s="63"/>
      <c r="W13" s="63"/>
      <c r="X13" s="146"/>
      <c r="Y13" s="146"/>
      <c r="Z13" s="146"/>
      <c r="AA13" s="5">
        <v>0</v>
      </c>
      <c r="AB13" s="36"/>
      <c r="AC13" s="36"/>
      <c r="AD13" s="36"/>
      <c r="AE13" s="37"/>
      <c r="AF13" s="37"/>
      <c r="AG13" s="38"/>
    </row>
    <row r="14" spans="1:33" ht="15">
      <c r="A14" s="64"/>
      <c r="B14" s="70"/>
      <c r="C14" s="66"/>
      <c r="D14" s="67"/>
      <c r="E14" s="71"/>
      <c r="F14" s="62"/>
      <c r="G14" s="67"/>
      <c r="H14" s="67"/>
      <c r="I14" s="68"/>
      <c r="J14" s="62"/>
      <c r="K14" s="62"/>
      <c r="L14" s="62"/>
      <c r="M14" s="69"/>
      <c r="N14" s="67"/>
      <c r="O14" s="68"/>
      <c r="P14" s="62"/>
      <c r="Q14" s="62"/>
      <c r="R14" s="62"/>
      <c r="S14" s="67"/>
      <c r="T14" s="68"/>
      <c r="U14" s="62"/>
      <c r="V14" s="63"/>
      <c r="W14" s="63"/>
      <c r="X14" s="147" t="s">
        <v>19</v>
      </c>
      <c r="Y14" s="147"/>
      <c r="Z14" s="147"/>
      <c r="AA14" s="5">
        <v>0</v>
      </c>
      <c r="AB14" s="36" t="s">
        <v>20</v>
      </c>
      <c r="AC14" s="36"/>
      <c r="AD14" s="36"/>
      <c r="AE14" s="37"/>
      <c r="AF14" s="37"/>
      <c r="AG14" s="38"/>
    </row>
    <row r="15" spans="1:33" ht="15">
      <c r="A15" s="64"/>
      <c r="B15" s="70"/>
      <c r="C15" s="66"/>
      <c r="D15" s="67"/>
      <c r="E15" s="71"/>
      <c r="F15" s="62"/>
      <c r="G15" s="67"/>
      <c r="H15" s="67"/>
      <c r="I15" s="68"/>
      <c r="J15" s="62"/>
      <c r="K15" s="62"/>
      <c r="L15" s="62"/>
      <c r="M15" s="67"/>
      <c r="N15" s="67"/>
      <c r="O15" s="68"/>
      <c r="P15" s="62"/>
      <c r="Q15" s="62"/>
      <c r="R15" s="62"/>
      <c r="S15" s="67"/>
      <c r="T15" s="68"/>
      <c r="U15" s="62"/>
      <c r="V15" s="63"/>
      <c r="W15" s="63"/>
      <c r="X15" s="146" t="s">
        <v>62</v>
      </c>
      <c r="Y15" s="146"/>
      <c r="Z15" s="146"/>
      <c r="AA15" s="5">
        <v>0</v>
      </c>
      <c r="AB15" s="39" t="s">
        <v>20</v>
      </c>
      <c r="AC15" s="36"/>
      <c r="AD15" s="36"/>
      <c r="AE15" s="37"/>
      <c r="AF15" s="37"/>
      <c r="AG15" s="38"/>
    </row>
    <row r="16" spans="1:33" ht="31.5" customHeight="1">
      <c r="A16" s="64"/>
      <c r="B16" s="70"/>
      <c r="C16" s="66"/>
      <c r="D16" s="67"/>
      <c r="E16" s="71"/>
      <c r="F16" s="62"/>
      <c r="G16" s="67"/>
      <c r="H16" s="67"/>
      <c r="I16" s="68"/>
      <c r="J16" s="62"/>
      <c r="K16" s="62"/>
      <c r="L16" s="62"/>
      <c r="M16" s="67"/>
      <c r="N16" s="67"/>
      <c r="O16" s="68"/>
      <c r="P16" s="62"/>
      <c r="Q16" s="62"/>
      <c r="R16" s="62"/>
      <c r="S16" s="67"/>
      <c r="T16" s="68"/>
      <c r="U16" s="62"/>
      <c r="V16" s="63"/>
      <c r="W16" s="63"/>
      <c r="X16" s="148"/>
      <c r="Y16" s="148"/>
      <c r="Z16" s="148"/>
      <c r="AA16" s="4"/>
      <c r="AB16" s="177" t="s">
        <v>97</v>
      </c>
      <c r="AC16" s="177"/>
      <c r="AD16" s="177"/>
      <c r="AE16" s="177"/>
      <c r="AF16" s="177"/>
      <c r="AG16" s="177"/>
    </row>
    <row r="17" spans="1:33" ht="15">
      <c r="A17" s="64"/>
      <c r="B17" s="70"/>
      <c r="C17" s="66"/>
      <c r="D17" s="67"/>
      <c r="E17" s="71"/>
      <c r="F17" s="62"/>
      <c r="G17" s="67"/>
      <c r="H17" s="67"/>
      <c r="I17" s="68"/>
      <c r="J17" s="62"/>
      <c r="K17" s="62"/>
      <c r="L17" s="62"/>
      <c r="M17" s="67"/>
      <c r="N17" s="67"/>
      <c r="O17" s="68"/>
      <c r="P17" s="62"/>
      <c r="Q17" s="62"/>
      <c r="R17" s="62"/>
      <c r="S17" s="67"/>
      <c r="T17" s="68"/>
      <c r="U17" s="62"/>
      <c r="V17" s="63"/>
      <c r="W17" s="63"/>
      <c r="X17" s="36"/>
      <c r="Y17" s="36"/>
      <c r="Z17" s="36" t="s">
        <v>24</v>
      </c>
      <c r="AA17" s="36"/>
      <c r="AB17" s="36"/>
      <c r="AC17" s="36"/>
      <c r="AD17" s="36"/>
      <c r="AE17" s="40"/>
      <c r="AF17" s="37"/>
      <c r="AG17" s="38"/>
    </row>
    <row r="18" spans="1:36" ht="15">
      <c r="A18" s="64"/>
      <c r="B18" s="70"/>
      <c r="C18" s="66"/>
      <c r="D18" s="67"/>
      <c r="E18" s="71"/>
      <c r="F18" s="62"/>
      <c r="G18" s="62"/>
      <c r="H18" s="62"/>
      <c r="I18" s="62"/>
      <c r="J18" s="62"/>
      <c r="K18" s="62"/>
      <c r="L18" s="62"/>
      <c r="M18" s="67"/>
      <c r="N18" s="67"/>
      <c r="O18" s="68"/>
      <c r="P18" s="62"/>
      <c r="Q18" s="62"/>
      <c r="R18" s="62"/>
      <c r="S18" s="67"/>
      <c r="T18" s="68"/>
      <c r="U18" s="62"/>
      <c r="V18" s="63"/>
      <c r="W18" s="63"/>
      <c r="X18" s="176" t="s">
        <v>67</v>
      </c>
      <c r="Y18" s="135"/>
      <c r="Z18" s="21" t="s">
        <v>24</v>
      </c>
      <c r="AA18" s="1">
        <f>VLOOKUP(Z18,E30:G31,3,0)</f>
        <v>0</v>
      </c>
      <c r="AB18" s="36" t="s">
        <v>44</v>
      </c>
      <c r="AC18" s="36"/>
      <c r="AD18" s="36"/>
      <c r="AE18" s="1">
        <f>AA18*(AA14-AA15)</f>
        <v>0</v>
      </c>
      <c r="AF18" s="37" t="s">
        <v>46</v>
      </c>
      <c r="AG18" s="38"/>
      <c r="AJ18" s="42"/>
    </row>
    <row r="19" spans="1:36" ht="15">
      <c r="A19" s="71"/>
      <c r="B19" s="71"/>
      <c r="C19" s="71"/>
      <c r="D19" s="71"/>
      <c r="E19" s="71"/>
      <c r="F19" s="62"/>
      <c r="G19" s="62"/>
      <c r="H19" s="62"/>
      <c r="I19" s="62"/>
      <c r="J19" s="62"/>
      <c r="K19" s="62"/>
      <c r="L19" s="62"/>
      <c r="M19" s="67"/>
      <c r="N19" s="67"/>
      <c r="O19" s="68"/>
      <c r="P19" s="62"/>
      <c r="Q19" s="62"/>
      <c r="R19" s="62"/>
      <c r="S19" s="67"/>
      <c r="T19" s="68"/>
      <c r="U19" s="62"/>
      <c r="V19" s="63"/>
      <c r="W19" s="63"/>
      <c r="X19" s="36" t="s">
        <v>69</v>
      </c>
      <c r="Y19" s="56"/>
      <c r="Z19" s="21" t="s">
        <v>24</v>
      </c>
      <c r="AA19" s="1">
        <f>VLOOKUP(Z19,E33:G34,3,0)</f>
        <v>0</v>
      </c>
      <c r="AB19" s="36" t="s">
        <v>17</v>
      </c>
      <c r="AC19" s="36"/>
      <c r="AD19" s="36"/>
      <c r="AE19" s="1">
        <f>AA19*(AA14-AA15)</f>
        <v>0</v>
      </c>
      <c r="AF19" s="37" t="s">
        <v>46</v>
      </c>
      <c r="AG19" s="38"/>
      <c r="AJ19" s="43"/>
    </row>
    <row r="20" spans="1:36" ht="15" customHeight="1" hidden="1">
      <c r="A20" s="71"/>
      <c r="B20" s="71"/>
      <c r="C20" s="71"/>
      <c r="D20" s="71"/>
      <c r="E20" s="71"/>
      <c r="F20" s="62"/>
      <c r="G20" s="62"/>
      <c r="H20" s="62"/>
      <c r="I20" s="62"/>
      <c r="J20" s="62"/>
      <c r="K20" s="62"/>
      <c r="L20" s="62"/>
      <c r="M20" s="67"/>
      <c r="N20" s="67"/>
      <c r="O20" s="68"/>
      <c r="P20" s="62"/>
      <c r="Q20" s="62"/>
      <c r="R20" s="62"/>
      <c r="S20" s="67"/>
      <c r="T20" s="68"/>
      <c r="U20" s="62"/>
      <c r="V20" s="63"/>
      <c r="W20" s="63"/>
      <c r="X20" s="41"/>
      <c r="Y20" s="28"/>
      <c r="Z20" s="21" t="s">
        <v>24</v>
      </c>
      <c r="AA20" s="1"/>
      <c r="AB20" s="36"/>
      <c r="AC20" s="36"/>
      <c r="AD20" s="36"/>
      <c r="AE20" s="40"/>
      <c r="AF20" s="37"/>
      <c r="AG20" s="38"/>
      <c r="AJ20" s="43"/>
    </row>
    <row r="21" spans="1:36" ht="15" customHeight="1" hidden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62"/>
      <c r="M21" s="67"/>
      <c r="N21" s="67"/>
      <c r="O21" s="68"/>
      <c r="P21" s="71"/>
      <c r="Q21" s="71"/>
      <c r="R21" s="62"/>
      <c r="S21" s="67"/>
      <c r="T21" s="68"/>
      <c r="U21" s="71"/>
      <c r="V21" s="72"/>
      <c r="W21" s="72"/>
      <c r="X21" s="36"/>
      <c r="Y21" s="12"/>
      <c r="Z21" s="21" t="s">
        <v>24</v>
      </c>
      <c r="AA21" s="1"/>
      <c r="AB21" s="36"/>
      <c r="AC21" s="36"/>
      <c r="AD21" s="36"/>
      <c r="AE21" s="44"/>
      <c r="AF21" s="36"/>
      <c r="AG21" s="45"/>
      <c r="AJ21" s="43"/>
    </row>
    <row r="22" spans="1:36" ht="15" customHeight="1" hidden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62"/>
      <c r="M22" s="67"/>
      <c r="N22" s="67"/>
      <c r="O22" s="68"/>
      <c r="P22" s="71"/>
      <c r="Q22" s="71"/>
      <c r="R22" s="62"/>
      <c r="S22" s="67"/>
      <c r="T22" s="68"/>
      <c r="U22" s="71"/>
      <c r="V22" s="72"/>
      <c r="W22" s="72"/>
      <c r="X22" s="36"/>
      <c r="Y22" s="28"/>
      <c r="Z22" s="21" t="s">
        <v>24</v>
      </c>
      <c r="AA22" s="1"/>
      <c r="AB22" s="36"/>
      <c r="AC22" s="36"/>
      <c r="AD22" s="36"/>
      <c r="AE22" s="40"/>
      <c r="AF22" s="36"/>
      <c r="AG22" s="45"/>
      <c r="AJ22" s="43"/>
    </row>
    <row r="23" spans="1:36" ht="15" customHeight="1" hidden="1" outlineLevel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62"/>
      <c r="M23" s="67"/>
      <c r="N23" s="67"/>
      <c r="O23" s="68"/>
      <c r="P23" s="71"/>
      <c r="Q23" s="71"/>
      <c r="R23" s="62"/>
      <c r="S23" s="67"/>
      <c r="T23" s="68"/>
      <c r="U23" s="71"/>
      <c r="V23" s="72"/>
      <c r="W23" s="72"/>
      <c r="X23" s="36"/>
      <c r="Y23" s="28"/>
      <c r="Z23" s="21" t="s">
        <v>24</v>
      </c>
      <c r="AA23" s="1"/>
      <c r="AB23" s="36"/>
      <c r="AC23" s="36"/>
      <c r="AD23" s="36"/>
      <c r="AE23" s="40"/>
      <c r="AF23" s="36"/>
      <c r="AG23" s="45"/>
      <c r="AJ23" s="43"/>
    </row>
    <row r="24" spans="1:36" ht="15" customHeight="1" hidden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62"/>
      <c r="M24" s="67"/>
      <c r="N24" s="67"/>
      <c r="O24" s="68"/>
      <c r="P24" s="71"/>
      <c r="Q24" s="71"/>
      <c r="R24" s="62"/>
      <c r="S24" s="71"/>
      <c r="T24" s="71"/>
      <c r="U24" s="71"/>
      <c r="V24" s="72"/>
      <c r="W24" s="72"/>
      <c r="X24" s="36"/>
      <c r="Y24" s="12"/>
      <c r="Z24" s="21" t="s">
        <v>24</v>
      </c>
      <c r="AA24" s="1"/>
      <c r="AB24" s="36"/>
      <c r="AC24" s="36"/>
      <c r="AD24" s="36"/>
      <c r="AE24" s="40"/>
      <c r="AF24" s="46"/>
      <c r="AG24" s="45"/>
      <c r="AJ24" s="43"/>
    </row>
    <row r="25" spans="1:36" ht="15" customHeight="1" hidden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62"/>
      <c r="M25" s="67"/>
      <c r="N25" s="67"/>
      <c r="O25" s="68"/>
      <c r="P25" s="71"/>
      <c r="Q25" s="71"/>
      <c r="R25" s="62"/>
      <c r="S25" s="71"/>
      <c r="T25" s="71"/>
      <c r="U25" s="71"/>
      <c r="V25" s="72"/>
      <c r="W25" s="72"/>
      <c r="X25" s="36"/>
      <c r="Y25" s="12"/>
      <c r="Z25" s="21" t="s">
        <v>24</v>
      </c>
      <c r="AA25" s="1"/>
      <c r="AB25" s="36"/>
      <c r="AC25" s="36"/>
      <c r="AD25" s="36"/>
      <c r="AE25" s="40"/>
      <c r="AF25" s="46"/>
      <c r="AG25" s="45"/>
      <c r="AJ25" s="43"/>
    </row>
    <row r="26" spans="1:33" ht="15" customHeight="1" hidden="1">
      <c r="A26" s="71"/>
      <c r="B26" s="71"/>
      <c r="C26" s="71"/>
      <c r="D26" s="71"/>
      <c r="E26" s="71"/>
      <c r="F26" s="72"/>
      <c r="G26" s="72"/>
      <c r="H26" s="72"/>
      <c r="I26" s="72"/>
      <c r="J26" s="71"/>
      <c r="K26" s="71"/>
      <c r="L26" s="62"/>
      <c r="M26" s="67"/>
      <c r="N26" s="67"/>
      <c r="O26" s="68"/>
      <c r="P26" s="71"/>
      <c r="Q26" s="71"/>
      <c r="R26" s="71"/>
      <c r="S26" s="71"/>
      <c r="T26" s="71"/>
      <c r="U26" s="71"/>
      <c r="V26" s="72"/>
      <c r="W26" s="72"/>
      <c r="X26" s="41"/>
      <c r="Y26" s="15"/>
      <c r="Z26" s="21" t="s">
        <v>24</v>
      </c>
      <c r="AA26" s="1"/>
      <c r="AB26" s="36"/>
      <c r="AC26" s="36"/>
      <c r="AD26" s="36"/>
      <c r="AE26" s="40"/>
      <c r="AF26" s="36"/>
      <c r="AG26" s="45"/>
    </row>
    <row r="27" spans="1:33" ht="15" customHeight="1" hidden="1">
      <c r="A27" s="71"/>
      <c r="B27" s="71"/>
      <c r="C27" s="71"/>
      <c r="D27" s="71"/>
      <c r="E27" s="71"/>
      <c r="F27" s="72"/>
      <c r="G27" s="72"/>
      <c r="H27" s="72"/>
      <c r="I27" s="72"/>
      <c r="J27" s="71"/>
      <c r="K27" s="71"/>
      <c r="L27" s="62"/>
      <c r="M27" s="67"/>
      <c r="N27" s="67"/>
      <c r="O27" s="68"/>
      <c r="P27" s="71"/>
      <c r="Q27" s="71"/>
      <c r="R27" s="71"/>
      <c r="S27" s="71"/>
      <c r="T27" s="71"/>
      <c r="U27" s="71"/>
      <c r="V27" s="72"/>
      <c r="W27" s="72"/>
      <c r="X27" s="36"/>
      <c r="Y27" s="36"/>
      <c r="Z27" s="16" t="s">
        <v>24</v>
      </c>
      <c r="AA27" s="2"/>
      <c r="AB27" s="36"/>
      <c r="AC27" s="36"/>
      <c r="AD27" s="36"/>
      <c r="AE27" s="40"/>
      <c r="AF27" s="36"/>
      <c r="AG27" s="45"/>
    </row>
    <row r="28" spans="1:33" ht="15" customHeight="1">
      <c r="A28" s="71"/>
      <c r="B28" s="71"/>
      <c r="C28" s="71"/>
      <c r="D28" s="71"/>
      <c r="E28" s="71"/>
      <c r="F28" s="72"/>
      <c r="G28" s="72"/>
      <c r="H28" s="72"/>
      <c r="I28" s="72"/>
      <c r="J28" s="71"/>
      <c r="K28" s="71"/>
      <c r="L28" s="62"/>
      <c r="M28" s="67"/>
      <c r="N28" s="67"/>
      <c r="O28" s="68"/>
      <c r="P28" s="71"/>
      <c r="Q28" s="71"/>
      <c r="R28" s="71"/>
      <c r="S28" s="71"/>
      <c r="T28" s="71"/>
      <c r="U28" s="71"/>
      <c r="V28" s="72"/>
      <c r="W28" s="72"/>
      <c r="X28" s="36"/>
      <c r="Y28" s="36"/>
      <c r="Z28" s="16" t="s">
        <v>24</v>
      </c>
      <c r="AA28" s="2"/>
      <c r="AB28" s="36"/>
      <c r="AC28" s="36"/>
      <c r="AD28" s="36"/>
      <c r="AE28" s="40"/>
      <c r="AF28" s="36"/>
      <c r="AG28" s="45"/>
    </row>
    <row r="29" spans="1:33" ht="15" customHeight="1">
      <c r="A29" s="71"/>
      <c r="B29" s="71"/>
      <c r="C29" s="71"/>
      <c r="D29" s="71"/>
      <c r="E29" s="71"/>
      <c r="F29" s="72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2"/>
      <c r="X29" s="36"/>
      <c r="Y29" s="36"/>
      <c r="Z29" s="47" t="s">
        <v>21</v>
      </c>
      <c r="AA29" s="3">
        <f>SUM(AE18:AE19)</f>
        <v>0</v>
      </c>
      <c r="AB29" s="36" t="s">
        <v>23</v>
      </c>
      <c r="AC29" s="36"/>
      <c r="AD29" s="36"/>
      <c r="AE29" s="36"/>
      <c r="AF29" s="36"/>
      <c r="AG29" s="45"/>
    </row>
    <row r="30" spans="1:33" ht="15">
      <c r="A30" s="72"/>
      <c r="B30" s="72"/>
      <c r="C30" s="72"/>
      <c r="D30" s="72"/>
      <c r="E30" s="72" t="s">
        <v>24</v>
      </c>
      <c r="F30" s="72"/>
      <c r="G30" s="33">
        <v>0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36"/>
      <c r="Y30" s="36"/>
      <c r="Z30" s="47"/>
      <c r="AA30" s="3">
        <f>AA31-AA29</f>
        <v>0</v>
      </c>
      <c r="AB30" s="36" t="s">
        <v>25</v>
      </c>
      <c r="AC30" s="36"/>
      <c r="AD30" s="36"/>
      <c r="AE30" s="36"/>
      <c r="AF30" s="36"/>
      <c r="AG30" s="45"/>
    </row>
    <row r="31" spans="1:33" ht="15">
      <c r="A31" s="176" t="s">
        <v>67</v>
      </c>
      <c r="B31" s="135"/>
      <c r="D31" s="72"/>
      <c r="E31" s="72" t="s">
        <v>286</v>
      </c>
      <c r="F31" s="72"/>
      <c r="G31" s="72">
        <v>111.23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36"/>
      <c r="Y31" s="36"/>
      <c r="Z31" s="47"/>
      <c r="AA31" s="3">
        <f>ROUND(AA29*1.18,2)</f>
        <v>0</v>
      </c>
      <c r="AB31" s="36" t="s">
        <v>22</v>
      </c>
      <c r="AC31" s="36"/>
      <c r="AD31" s="36"/>
      <c r="AE31" s="36"/>
      <c r="AF31" s="36"/>
      <c r="AG31" s="45"/>
    </row>
    <row r="32" spans="1:33" ht="15">
      <c r="A32" s="36" t="s">
        <v>69</v>
      </c>
      <c r="B32" s="56"/>
      <c r="D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45"/>
      <c r="Y32" s="45"/>
      <c r="Z32" s="6"/>
      <c r="AA32" s="45"/>
      <c r="AB32" s="45"/>
      <c r="AC32" s="45"/>
      <c r="AD32" s="45"/>
      <c r="AE32" s="45"/>
      <c r="AF32" s="45"/>
      <c r="AG32" s="45"/>
    </row>
    <row r="33" spans="1:33" ht="15">
      <c r="A33" s="72"/>
      <c r="B33" s="72"/>
      <c r="C33" s="72"/>
      <c r="D33" s="72"/>
      <c r="E33" s="72" t="s">
        <v>24</v>
      </c>
      <c r="F33" s="72"/>
      <c r="G33" s="72">
        <v>0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>
      <c r="A34" s="72"/>
      <c r="B34" s="72"/>
      <c r="C34" s="72"/>
      <c r="D34" s="72"/>
      <c r="E34" s="72" t="s">
        <v>286</v>
      </c>
      <c r="F34" s="72"/>
      <c r="G34" s="72">
        <v>412.92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6"/>
      <c r="Y35" s="141" t="s">
        <v>48</v>
      </c>
      <c r="Z35" s="141"/>
      <c r="AA35" s="141"/>
      <c r="AB35" s="6"/>
      <c r="AC35" s="6"/>
      <c r="AD35" s="6"/>
      <c r="AE35" s="143" t="s">
        <v>47</v>
      </c>
      <c r="AF35" s="143"/>
      <c r="AG35" s="6"/>
    </row>
    <row r="36" spans="1:33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6"/>
      <c r="Y37" s="141" t="s">
        <v>49</v>
      </c>
      <c r="Z37" s="141"/>
      <c r="AA37" s="141"/>
      <c r="AB37" s="6"/>
      <c r="AC37" s="143" t="s">
        <v>54</v>
      </c>
      <c r="AD37" s="143"/>
      <c r="AE37" s="143"/>
      <c r="AF37" s="143"/>
      <c r="AG37" s="6"/>
    </row>
    <row r="38" spans="1:33" ht="15" hidden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6"/>
      <c r="Y38" s="25"/>
      <c r="Z38" s="25"/>
      <c r="AA38" s="25"/>
      <c r="AB38" s="6"/>
      <c r="AC38" s="6"/>
      <c r="AD38" s="6"/>
      <c r="AE38" s="27"/>
      <c r="AF38" s="27"/>
      <c r="AG38" s="6"/>
    </row>
    <row r="39" spans="1:33" ht="15" hidden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hidden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</row>
    <row r="41" spans="1:33" ht="15" hidden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</row>
    <row r="42" spans="1:33" ht="15" hidden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</row>
    <row r="43" spans="1:33" ht="15" hidden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</row>
    <row r="44" spans="1:33" ht="15" hidden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</row>
    <row r="45" spans="1:33" ht="15" hidden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23" ht="15" hidden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ht="15" hidden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ht="15" hidden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ht="11.25" customHeight="1" hidden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ht="8.25" customHeight="1" hidden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33" ht="51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14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139" t="s">
        <v>269</v>
      </c>
      <c r="Y52" s="140"/>
      <c r="Z52" s="140"/>
      <c r="AA52" s="140"/>
      <c r="AB52" s="140"/>
      <c r="AC52" s="140"/>
      <c r="AD52" s="140"/>
      <c r="AE52" s="140"/>
      <c r="AF52" s="140"/>
      <c r="AG52" s="140"/>
    </row>
    <row r="53" spans="1:33" ht="19.5" customHeight="1" hidden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178" t="s">
        <v>287</v>
      </c>
      <c r="Y53" s="152"/>
      <c r="Z53" s="152"/>
      <c r="AA53" s="152"/>
      <c r="AB53" s="152"/>
      <c r="AC53" s="152"/>
      <c r="AD53" s="152"/>
      <c r="AE53" s="152"/>
      <c r="AF53" s="152"/>
      <c r="AG53" s="152"/>
    </row>
    <row r="54" spans="1:33" ht="10.5" customHeight="1" hidden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</row>
    <row r="55" spans="1:33" ht="10.5" customHeight="1" hidden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</row>
    <row r="56" spans="1:33" ht="10.5" customHeight="1" hidden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</row>
    <row r="57" spans="1:33" ht="10.5" customHeight="1" hidden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</row>
    <row r="58" spans="1:33" ht="10.5" customHeight="1" hidden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</row>
    <row r="59" spans="1:33" ht="15" hidden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</row>
    <row r="60" spans="1:33" ht="15" hidden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</row>
    <row r="61" spans="1:33" ht="15" hidden="1">
      <c r="A61" s="136" t="s">
        <v>1</v>
      </c>
      <c r="B61" s="136"/>
      <c r="C61" s="136"/>
      <c r="D61" s="137"/>
      <c r="E61" s="137"/>
      <c r="F61" s="132" t="s">
        <v>2</v>
      </c>
      <c r="G61" s="132"/>
      <c r="H61" s="132"/>
      <c r="I61" s="132"/>
      <c r="J61" s="76"/>
      <c r="K61" s="76"/>
      <c r="L61" s="132" t="s">
        <v>4</v>
      </c>
      <c r="M61" s="133"/>
      <c r="N61" s="133"/>
      <c r="O61" s="133"/>
      <c r="P61" s="76"/>
      <c r="Q61" s="76"/>
      <c r="R61" s="132" t="s">
        <v>5</v>
      </c>
      <c r="S61" s="133"/>
      <c r="T61" s="133"/>
      <c r="U61" s="76"/>
      <c r="V61" s="78"/>
      <c r="W61" s="78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</row>
    <row r="62" spans="1:33" ht="15" hidden="1">
      <c r="A62" s="79" t="s">
        <v>24</v>
      </c>
      <c r="B62" s="80"/>
      <c r="C62" s="80"/>
      <c r="D62" s="81"/>
      <c r="E62" s="81"/>
      <c r="F62" s="82" t="s">
        <v>24</v>
      </c>
      <c r="G62" s="82"/>
      <c r="H62" s="82"/>
      <c r="I62" s="82"/>
      <c r="J62" s="76"/>
      <c r="K62" s="76"/>
      <c r="L62" s="82" t="s">
        <v>24</v>
      </c>
      <c r="M62" s="79"/>
      <c r="N62" s="79"/>
      <c r="O62" s="79"/>
      <c r="P62" s="76"/>
      <c r="Q62" s="76"/>
      <c r="R62" s="83" t="s">
        <v>24</v>
      </c>
      <c r="S62" s="84"/>
      <c r="T62" s="84"/>
      <c r="U62" s="76"/>
      <c r="V62" s="78"/>
      <c r="W62" s="78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</row>
    <row r="63" spans="1:33" ht="15" hidden="1">
      <c r="A63" s="79" t="s">
        <v>26</v>
      </c>
      <c r="B63" s="85">
        <v>0.4</v>
      </c>
      <c r="C63" s="86"/>
      <c r="D63" s="81"/>
      <c r="E63" s="81"/>
      <c r="F63" s="87" t="s">
        <v>238</v>
      </c>
      <c r="G63" s="88" t="s">
        <v>3</v>
      </c>
      <c r="H63" s="88">
        <v>0.4</v>
      </c>
      <c r="I63" s="89">
        <f>124395/2</f>
        <v>62197.5</v>
      </c>
      <c r="J63" s="107"/>
      <c r="K63" s="76"/>
      <c r="L63" s="87" t="s">
        <v>30</v>
      </c>
      <c r="M63" s="90">
        <v>0.4</v>
      </c>
      <c r="N63" s="88" t="s">
        <v>3</v>
      </c>
      <c r="O63" s="89">
        <f>116944/2</f>
        <v>58472</v>
      </c>
      <c r="P63" s="76"/>
      <c r="Q63" s="76"/>
      <c r="R63" s="91" t="s">
        <v>6</v>
      </c>
      <c r="S63" s="92" t="s">
        <v>17</v>
      </c>
      <c r="T63" s="93">
        <f>673.6/2</f>
        <v>336.8</v>
      </c>
      <c r="U63" s="76"/>
      <c r="V63" s="78"/>
      <c r="W63" s="78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</row>
    <row r="64" spans="1:33" ht="15" hidden="1">
      <c r="A64" s="79" t="s">
        <v>82</v>
      </c>
      <c r="B64" s="85">
        <v>0.4</v>
      </c>
      <c r="C64" s="86">
        <v>946.46</v>
      </c>
      <c r="D64" s="81"/>
      <c r="E64" s="81"/>
      <c r="F64" s="87" t="s">
        <v>239</v>
      </c>
      <c r="G64" s="88" t="s">
        <v>3</v>
      </c>
      <c r="H64" s="88">
        <v>0.4</v>
      </c>
      <c r="I64" s="89">
        <f>132099/2</f>
        <v>66049.5</v>
      </c>
      <c r="J64" s="107"/>
      <c r="K64" s="76"/>
      <c r="L64" s="87" t="s">
        <v>86</v>
      </c>
      <c r="M64" s="90">
        <v>0.4</v>
      </c>
      <c r="N64" s="88" t="s">
        <v>3</v>
      </c>
      <c r="O64" s="89">
        <f>152673/2</f>
        <v>76336.5</v>
      </c>
      <c r="P64" s="76"/>
      <c r="Q64" s="76"/>
      <c r="R64" s="91" t="s">
        <v>7</v>
      </c>
      <c r="S64" s="92" t="s">
        <v>17</v>
      </c>
      <c r="T64" s="93">
        <f>465.6/2</f>
        <v>232.8</v>
      </c>
      <c r="U64" s="76"/>
      <c r="V64" s="78"/>
      <c r="W64" s="78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</row>
    <row r="65" spans="1:33" ht="15" hidden="1">
      <c r="A65" s="79" t="s">
        <v>83</v>
      </c>
      <c r="B65" s="85">
        <v>0.4</v>
      </c>
      <c r="C65" s="86">
        <v>40.47</v>
      </c>
      <c r="D65" s="81"/>
      <c r="E65" s="81"/>
      <c r="F65" s="87" t="s">
        <v>240</v>
      </c>
      <c r="G65" s="88" t="s">
        <v>3</v>
      </c>
      <c r="H65" s="88">
        <v>0.4</v>
      </c>
      <c r="I65" s="89">
        <f>139262/2</f>
        <v>69631</v>
      </c>
      <c r="J65" s="107"/>
      <c r="K65" s="76"/>
      <c r="L65" s="87" t="s">
        <v>31</v>
      </c>
      <c r="M65" s="90">
        <v>0.4</v>
      </c>
      <c r="N65" s="88" t="s">
        <v>3</v>
      </c>
      <c r="O65" s="89">
        <f>112362/2</f>
        <v>56181</v>
      </c>
      <c r="P65" s="76"/>
      <c r="Q65" s="76"/>
      <c r="R65" s="91" t="s">
        <v>8</v>
      </c>
      <c r="S65" s="92" t="s">
        <v>17</v>
      </c>
      <c r="T65" s="93">
        <v>219.55</v>
      </c>
      <c r="U65" s="76"/>
      <c r="V65" s="78"/>
      <c r="W65" s="78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</row>
    <row r="66" spans="1:33" ht="15" hidden="1">
      <c r="A66" s="79" t="s">
        <v>27</v>
      </c>
      <c r="B66" s="85">
        <v>0.4</v>
      </c>
      <c r="C66" s="86">
        <v>8.51</v>
      </c>
      <c r="D66" s="81"/>
      <c r="E66" s="81"/>
      <c r="F66" s="87" t="s">
        <v>220</v>
      </c>
      <c r="G66" s="88" t="s">
        <v>3</v>
      </c>
      <c r="H66" s="88">
        <v>0.4</v>
      </c>
      <c r="I66" s="89">
        <f>173410/2</f>
        <v>86705</v>
      </c>
      <c r="J66" s="107"/>
      <c r="K66" s="76"/>
      <c r="L66" s="87" t="s">
        <v>87</v>
      </c>
      <c r="M66" s="90">
        <v>0.4</v>
      </c>
      <c r="N66" s="88" t="s">
        <v>3</v>
      </c>
      <c r="O66" s="89">
        <f>158013/2</f>
        <v>79006.5</v>
      </c>
      <c r="P66" s="76"/>
      <c r="Q66" s="76"/>
      <c r="R66" s="91" t="s">
        <v>9</v>
      </c>
      <c r="S66" s="92" t="s">
        <v>17</v>
      </c>
      <c r="T66" s="93">
        <f>604.4/2</f>
        <v>302.2</v>
      </c>
      <c r="U66" s="76"/>
      <c r="V66" s="78"/>
      <c r="W66" s="78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</row>
    <row r="67" spans="1:33" ht="15" hidden="1">
      <c r="A67" s="79" t="s">
        <v>24</v>
      </c>
      <c r="B67" s="94"/>
      <c r="C67" s="86"/>
      <c r="D67" s="95"/>
      <c r="E67" s="96"/>
      <c r="F67" s="87" t="s">
        <v>241</v>
      </c>
      <c r="G67" s="88" t="s">
        <v>3</v>
      </c>
      <c r="H67" s="88">
        <v>0.4</v>
      </c>
      <c r="I67" s="89">
        <f>181189/2</f>
        <v>90594.5</v>
      </c>
      <c r="J67" s="107"/>
      <c r="K67" s="76"/>
      <c r="L67" s="87" t="s">
        <v>32</v>
      </c>
      <c r="M67" s="90">
        <v>0.4</v>
      </c>
      <c r="N67" s="88" t="s">
        <v>3</v>
      </c>
      <c r="O67" s="89">
        <f>120830/2</f>
        <v>60415</v>
      </c>
      <c r="P67" s="76"/>
      <c r="Q67" s="76"/>
      <c r="R67" s="91" t="s">
        <v>10</v>
      </c>
      <c r="S67" s="92" t="s">
        <v>17</v>
      </c>
      <c r="T67" s="93">
        <f>447.3/2</f>
        <v>223.65</v>
      </c>
      <c r="U67" s="76"/>
      <c r="V67" s="78"/>
      <c r="W67" s="78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</row>
    <row r="68" spans="1:33" ht="15" hidden="1">
      <c r="A68" s="79" t="s">
        <v>28</v>
      </c>
      <c r="B68" s="94" t="s">
        <v>0</v>
      </c>
      <c r="C68" s="86"/>
      <c r="D68" s="108"/>
      <c r="E68" s="96"/>
      <c r="F68" s="87" t="s">
        <v>242</v>
      </c>
      <c r="G68" s="88" t="s">
        <v>3</v>
      </c>
      <c r="H68" s="88">
        <v>0.4</v>
      </c>
      <c r="I68" s="89">
        <f>202833/2</f>
        <v>101416.5</v>
      </c>
      <c r="J68" s="107"/>
      <c r="K68" s="76"/>
      <c r="L68" s="87" t="s">
        <v>88</v>
      </c>
      <c r="M68" s="90">
        <v>0.4</v>
      </c>
      <c r="N68" s="88" t="s">
        <v>3</v>
      </c>
      <c r="O68" s="89">
        <f>174940/2</f>
        <v>87470</v>
      </c>
      <c r="P68" s="76"/>
      <c r="Q68" s="76"/>
      <c r="R68" s="91" t="s">
        <v>11</v>
      </c>
      <c r="S68" s="92" t="s">
        <v>17</v>
      </c>
      <c r="T68" s="93">
        <f>520.7/2</f>
        <v>260.35</v>
      </c>
      <c r="U68" s="76"/>
      <c r="V68" s="78"/>
      <c r="W68" s="78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</row>
    <row r="69" spans="1:33" ht="15" hidden="1">
      <c r="A69" s="79" t="s">
        <v>84</v>
      </c>
      <c r="B69" s="94" t="s">
        <v>0</v>
      </c>
      <c r="C69" s="86">
        <v>315.34</v>
      </c>
      <c r="D69" s="108"/>
      <c r="E69" s="96"/>
      <c r="F69" s="87" t="s">
        <v>243</v>
      </c>
      <c r="G69" s="88" t="s">
        <v>3</v>
      </c>
      <c r="H69" s="88">
        <v>0.4</v>
      </c>
      <c r="I69" s="89">
        <f>227638/2</f>
        <v>113819</v>
      </c>
      <c r="J69" s="107"/>
      <c r="K69" s="76"/>
      <c r="L69" s="87" t="s">
        <v>33</v>
      </c>
      <c r="M69" s="90">
        <v>0.4</v>
      </c>
      <c r="N69" s="88" t="s">
        <v>3</v>
      </c>
      <c r="O69" s="89">
        <f>129862/2</f>
        <v>64931</v>
      </c>
      <c r="P69" s="76"/>
      <c r="Q69" s="76"/>
      <c r="R69" s="91" t="s">
        <v>12</v>
      </c>
      <c r="S69" s="92" t="s">
        <v>17</v>
      </c>
      <c r="T69" s="93">
        <f>493.3/2</f>
        <v>246.65</v>
      </c>
      <c r="U69" s="76"/>
      <c r="V69" s="78"/>
      <c r="W69" s="78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</row>
    <row r="70" spans="1:33" ht="15" hidden="1">
      <c r="A70" s="79" t="s">
        <v>85</v>
      </c>
      <c r="B70" s="94" t="s">
        <v>0</v>
      </c>
      <c r="C70" s="86">
        <v>34.95</v>
      </c>
      <c r="D70" s="108"/>
      <c r="E70" s="96"/>
      <c r="F70" s="87" t="s">
        <v>135</v>
      </c>
      <c r="G70" s="88" t="s">
        <v>3</v>
      </c>
      <c r="H70" s="88">
        <v>0.4</v>
      </c>
      <c r="I70" s="89">
        <f>266387/2</f>
        <v>133193.5</v>
      </c>
      <c r="J70" s="107"/>
      <c r="K70" s="76"/>
      <c r="L70" s="87" t="s">
        <v>89</v>
      </c>
      <c r="M70" s="90">
        <v>0.4</v>
      </c>
      <c r="N70" s="88" t="s">
        <v>3</v>
      </c>
      <c r="O70" s="89">
        <f>193003/2</f>
        <v>96501.5</v>
      </c>
      <c r="P70" s="76"/>
      <c r="Q70" s="76"/>
      <c r="R70" s="91" t="s">
        <v>80</v>
      </c>
      <c r="S70" s="92" t="s">
        <v>17</v>
      </c>
      <c r="T70" s="93">
        <f>343.1/2</f>
        <v>171.55</v>
      </c>
      <c r="U70" s="76"/>
      <c r="V70" s="78"/>
      <c r="W70" s="78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</row>
    <row r="71" spans="1:33" ht="15" hidden="1">
      <c r="A71" s="79" t="s">
        <v>29</v>
      </c>
      <c r="B71" s="94" t="s">
        <v>0</v>
      </c>
      <c r="C71" s="86">
        <v>12.57</v>
      </c>
      <c r="D71" s="108"/>
      <c r="E71" s="96"/>
      <c r="F71" s="87" t="s">
        <v>244</v>
      </c>
      <c r="G71" s="88" t="s">
        <v>3</v>
      </c>
      <c r="H71" s="88">
        <v>0.4</v>
      </c>
      <c r="I71" s="89">
        <f>148106/2</f>
        <v>74053</v>
      </c>
      <c r="J71" s="107"/>
      <c r="K71" s="76"/>
      <c r="L71" s="87" t="s">
        <v>34</v>
      </c>
      <c r="M71" s="90">
        <v>0.4</v>
      </c>
      <c r="N71" s="88" t="s">
        <v>3</v>
      </c>
      <c r="O71" s="89">
        <f>138814/2</f>
        <v>69407</v>
      </c>
      <c r="P71" s="76"/>
      <c r="Q71" s="76"/>
      <c r="R71" s="91" t="s">
        <v>13</v>
      </c>
      <c r="S71" s="92" t="s">
        <v>17</v>
      </c>
      <c r="T71" s="93">
        <f>1469.6/2</f>
        <v>734.8</v>
      </c>
      <c r="U71" s="76"/>
      <c r="V71" s="78"/>
      <c r="W71" s="78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</row>
    <row r="72" spans="1:33" ht="15" hidden="1">
      <c r="A72" s="72"/>
      <c r="B72" s="72"/>
      <c r="C72" s="72"/>
      <c r="D72" s="108"/>
      <c r="E72" s="96"/>
      <c r="F72" s="87" t="s">
        <v>245</v>
      </c>
      <c r="G72" s="88" t="s">
        <v>3</v>
      </c>
      <c r="H72" s="88">
        <v>0.4</v>
      </c>
      <c r="I72" s="89">
        <f>157413/2</f>
        <v>78706.5</v>
      </c>
      <c r="J72" s="76"/>
      <c r="K72" s="76"/>
      <c r="L72" s="87" t="s">
        <v>90</v>
      </c>
      <c r="M72" s="90">
        <v>0.4</v>
      </c>
      <c r="N72" s="88" t="s">
        <v>3</v>
      </c>
      <c r="O72" s="89">
        <f>210904/2</f>
        <v>105452</v>
      </c>
      <c r="P72" s="76"/>
      <c r="Q72" s="76"/>
      <c r="R72" s="91" t="s">
        <v>14</v>
      </c>
      <c r="S72" s="92" t="s">
        <v>17</v>
      </c>
      <c r="T72" s="93">
        <f>735.8/2</f>
        <v>367.9</v>
      </c>
      <c r="U72" s="76"/>
      <c r="V72" s="78"/>
      <c r="W72" s="78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</row>
    <row r="73" spans="1:33" ht="15" hidden="1">
      <c r="A73" s="79"/>
      <c r="B73" s="94"/>
      <c r="C73" s="86"/>
      <c r="D73" s="108"/>
      <c r="E73" s="96"/>
      <c r="F73" s="87" t="s">
        <v>246</v>
      </c>
      <c r="G73" s="88" t="s">
        <v>3</v>
      </c>
      <c r="H73" s="88">
        <v>0.4</v>
      </c>
      <c r="I73" s="89">
        <f>171484/2</f>
        <v>85742</v>
      </c>
      <c r="J73" s="76"/>
      <c r="K73" s="76"/>
      <c r="L73" s="87" t="s">
        <v>36</v>
      </c>
      <c r="M73" s="90">
        <v>0.4</v>
      </c>
      <c r="N73" s="88" t="s">
        <v>3</v>
      </c>
      <c r="O73" s="89">
        <f>136664/2</f>
        <v>68332</v>
      </c>
      <c r="P73" s="76"/>
      <c r="Q73" s="76"/>
      <c r="R73" s="91" t="s">
        <v>15</v>
      </c>
      <c r="S73" s="92" t="s">
        <v>17</v>
      </c>
      <c r="T73" s="93">
        <f>500.3/2</f>
        <v>250.15</v>
      </c>
      <c r="U73" s="76"/>
      <c r="V73" s="78"/>
      <c r="W73" s="78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</row>
    <row r="74" spans="1:33" ht="15">
      <c r="A74" s="79"/>
      <c r="B74" s="94"/>
      <c r="C74" s="86"/>
      <c r="D74" s="108"/>
      <c r="E74" s="96"/>
      <c r="F74" s="87" t="s">
        <v>247</v>
      </c>
      <c r="G74" s="88" t="s">
        <v>3</v>
      </c>
      <c r="H74" s="88">
        <v>0.4</v>
      </c>
      <c r="I74" s="89">
        <f>189268/2</f>
        <v>94634</v>
      </c>
      <c r="J74" s="76"/>
      <c r="K74" s="76"/>
      <c r="L74" s="87" t="s">
        <v>91</v>
      </c>
      <c r="M74" s="90">
        <v>0.4</v>
      </c>
      <c r="N74" s="88" t="s">
        <v>3</v>
      </c>
      <c r="O74" s="89">
        <f>206604/2</f>
        <v>103302</v>
      </c>
      <c r="P74" s="76"/>
      <c r="Q74" s="76"/>
      <c r="R74" s="91" t="s">
        <v>16</v>
      </c>
      <c r="S74" s="92" t="s">
        <v>17</v>
      </c>
      <c r="T74" s="93">
        <f>341.9/2</f>
        <v>170.95</v>
      </c>
      <c r="U74" s="76"/>
      <c r="V74" s="78"/>
      <c r="W74" s="78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</row>
    <row r="75" spans="1:33" ht="15">
      <c r="A75" s="79"/>
      <c r="B75" s="94"/>
      <c r="C75" s="86"/>
      <c r="D75" s="108"/>
      <c r="E75" s="96"/>
      <c r="F75" s="87" t="s">
        <v>248</v>
      </c>
      <c r="G75" s="88" t="s">
        <v>3</v>
      </c>
      <c r="H75" s="88">
        <v>0.4</v>
      </c>
      <c r="I75" s="89">
        <f>209160/2</f>
        <v>104580</v>
      </c>
      <c r="J75" s="76"/>
      <c r="K75" s="76"/>
      <c r="L75" s="87" t="s">
        <v>35</v>
      </c>
      <c r="M75" s="90">
        <v>0.4</v>
      </c>
      <c r="N75" s="88" t="s">
        <v>3</v>
      </c>
      <c r="O75" s="89">
        <f>149702/2</f>
        <v>74851</v>
      </c>
      <c r="P75" s="76"/>
      <c r="Q75" s="76"/>
      <c r="R75" s="91" t="s">
        <v>252</v>
      </c>
      <c r="S75" s="92" t="s">
        <v>17</v>
      </c>
      <c r="T75" s="93">
        <f>1270.3/2</f>
        <v>635.15</v>
      </c>
      <c r="U75" s="76"/>
      <c r="V75" s="78"/>
      <c r="W75" s="78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</row>
    <row r="76" spans="1:33" ht="15">
      <c r="A76" s="79"/>
      <c r="B76" s="94"/>
      <c r="C76" s="86"/>
      <c r="D76" s="108"/>
      <c r="E76" s="96"/>
      <c r="F76" s="87" t="s">
        <v>249</v>
      </c>
      <c r="G76" s="88" t="s">
        <v>3</v>
      </c>
      <c r="H76" s="88">
        <v>0.4</v>
      </c>
      <c r="I76" s="89">
        <f>231706/2</f>
        <v>115853</v>
      </c>
      <c r="J76" s="76"/>
      <c r="K76" s="76"/>
      <c r="L76" s="87" t="s">
        <v>92</v>
      </c>
      <c r="M76" s="90">
        <v>0.4</v>
      </c>
      <c r="N76" s="88" t="s">
        <v>3</v>
      </c>
      <c r="O76" s="89">
        <f>242976/2</f>
        <v>121488</v>
      </c>
      <c r="P76" s="76"/>
      <c r="Q76" s="76"/>
      <c r="R76" s="91" t="s">
        <v>253</v>
      </c>
      <c r="S76" s="92" t="s">
        <v>17</v>
      </c>
      <c r="T76" s="93">
        <f>953.3/2</f>
        <v>476.65</v>
      </c>
      <c r="U76" s="76"/>
      <c r="V76" s="78"/>
      <c r="W76" s="78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</row>
    <row r="77" spans="1:33" ht="15">
      <c r="A77" s="79"/>
      <c r="B77" s="94"/>
      <c r="C77" s="86"/>
      <c r="D77" s="108"/>
      <c r="E77" s="96"/>
      <c r="F77" s="87" t="s">
        <v>136</v>
      </c>
      <c r="G77" s="88" t="s">
        <v>3</v>
      </c>
      <c r="H77" s="88">
        <v>0.4</v>
      </c>
      <c r="I77" s="89">
        <f>133168/2</f>
        <v>66584</v>
      </c>
      <c r="J77" s="76"/>
      <c r="K77" s="76"/>
      <c r="L77" s="87" t="s">
        <v>81</v>
      </c>
      <c r="M77" s="90">
        <v>0.4</v>
      </c>
      <c r="N77" s="88" t="s">
        <v>3</v>
      </c>
      <c r="O77" s="89">
        <f>165533/2</f>
        <v>82766.5</v>
      </c>
      <c r="P77" s="76"/>
      <c r="Q77" s="76"/>
      <c r="R77" s="91" t="s">
        <v>254</v>
      </c>
      <c r="S77" s="92" t="s">
        <v>17</v>
      </c>
      <c r="T77" s="93">
        <f>652.1/2</f>
        <v>326.05</v>
      </c>
      <c r="U77" s="76"/>
      <c r="V77" s="78"/>
      <c r="W77" s="78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</row>
    <row r="78" spans="1:33" ht="15">
      <c r="A78" s="79"/>
      <c r="B78" s="94"/>
      <c r="C78" s="86"/>
      <c r="D78" s="108"/>
      <c r="E78" s="96"/>
      <c r="F78" s="87" t="s">
        <v>137</v>
      </c>
      <c r="G78" s="88" t="s">
        <v>3</v>
      </c>
      <c r="H78" s="88">
        <v>0.4</v>
      </c>
      <c r="I78" s="89">
        <f>147620/2</f>
        <v>73810</v>
      </c>
      <c r="J78" s="76"/>
      <c r="K78" s="76"/>
      <c r="L78" s="87" t="s">
        <v>93</v>
      </c>
      <c r="M78" s="90">
        <v>0.4</v>
      </c>
      <c r="N78" s="88" t="s">
        <v>3</v>
      </c>
      <c r="O78" s="89">
        <f>264348/2</f>
        <v>132174</v>
      </c>
      <c r="P78" s="76"/>
      <c r="Q78" s="76"/>
      <c r="R78" s="91" t="s">
        <v>255</v>
      </c>
      <c r="S78" s="92" t="s">
        <v>17</v>
      </c>
      <c r="T78" s="93">
        <f>494.3/2</f>
        <v>247.15</v>
      </c>
      <c r="U78" s="76"/>
      <c r="V78" s="78"/>
      <c r="W78" s="78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</row>
    <row r="79" spans="1:33" ht="15">
      <c r="A79" s="79"/>
      <c r="B79" s="94"/>
      <c r="C79" s="86"/>
      <c r="D79" s="108"/>
      <c r="E79" s="96"/>
      <c r="F79" s="87" t="s">
        <v>231</v>
      </c>
      <c r="G79" s="88" t="s">
        <v>3</v>
      </c>
      <c r="H79" s="88">
        <v>0.4</v>
      </c>
      <c r="I79" s="89">
        <f>88950/2</f>
        <v>44475</v>
      </c>
      <c r="J79" s="76"/>
      <c r="K79" s="76"/>
      <c r="L79" s="87" t="s">
        <v>111</v>
      </c>
      <c r="M79" s="90">
        <v>0.4</v>
      </c>
      <c r="N79" s="88" t="s">
        <v>3</v>
      </c>
      <c r="O79" s="89">
        <f>206332/2</f>
        <v>103166</v>
      </c>
      <c r="P79" s="76"/>
      <c r="Q79" s="76"/>
      <c r="R79" s="91" t="s">
        <v>256</v>
      </c>
      <c r="S79" s="92" t="s">
        <v>17</v>
      </c>
      <c r="T79" s="93">
        <f>492.4/2</f>
        <v>246.2</v>
      </c>
      <c r="U79" s="76"/>
      <c r="V79" s="78"/>
      <c r="W79" s="78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</row>
    <row r="80" spans="1:33" ht="15">
      <c r="A80" s="79"/>
      <c r="B80" s="94"/>
      <c r="C80" s="86"/>
      <c r="D80" s="108"/>
      <c r="E80" s="96"/>
      <c r="F80" s="87" t="s">
        <v>232</v>
      </c>
      <c r="G80" s="88" t="s">
        <v>3</v>
      </c>
      <c r="H80" s="88">
        <v>0.4</v>
      </c>
      <c r="I80" s="89">
        <f>51431/2</f>
        <v>25715.5</v>
      </c>
      <c r="J80" s="76"/>
      <c r="K80" s="76"/>
      <c r="L80" s="87" t="s">
        <v>112</v>
      </c>
      <c r="M80" s="90">
        <v>0.4</v>
      </c>
      <c r="N80" s="88" t="s">
        <v>3</v>
      </c>
      <c r="O80" s="89">
        <f>81325/2</f>
        <v>40662.5</v>
      </c>
      <c r="P80" s="76"/>
      <c r="Q80" s="76"/>
      <c r="R80" s="91" t="s">
        <v>257</v>
      </c>
      <c r="S80" s="92" t="s">
        <v>17</v>
      </c>
      <c r="T80" s="93">
        <f>362.8/2</f>
        <v>181.4</v>
      </c>
      <c r="U80" s="76"/>
      <c r="V80" s="78"/>
      <c r="W80" s="78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</row>
    <row r="81" spans="1:33" ht="15">
      <c r="A81" s="79"/>
      <c r="B81" s="94"/>
      <c r="C81" s="86"/>
      <c r="D81" s="108"/>
      <c r="E81" s="96"/>
      <c r="F81" s="87" t="s">
        <v>233</v>
      </c>
      <c r="G81" s="88" t="s">
        <v>3</v>
      </c>
      <c r="H81" s="88">
        <v>0.4</v>
      </c>
      <c r="I81" s="89">
        <f>60651/2</f>
        <v>30325.5</v>
      </c>
      <c r="J81" s="76"/>
      <c r="K81" s="76"/>
      <c r="L81" s="87" t="s">
        <v>113</v>
      </c>
      <c r="M81" s="90">
        <v>0.4</v>
      </c>
      <c r="N81" s="88" t="s">
        <v>3</v>
      </c>
      <c r="O81" s="89">
        <f>102354/2</f>
        <v>51177</v>
      </c>
      <c r="P81" s="76"/>
      <c r="Q81" s="76"/>
      <c r="R81" s="91" t="s">
        <v>258</v>
      </c>
      <c r="S81" s="92" t="s">
        <v>17</v>
      </c>
      <c r="T81" s="93">
        <f>283.7/2</f>
        <v>141.85</v>
      </c>
      <c r="U81" s="76"/>
      <c r="V81" s="78"/>
      <c r="W81" s="78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</row>
    <row r="82" spans="1:33" ht="15">
      <c r="A82" s="79"/>
      <c r="B82" s="94"/>
      <c r="C82" s="86"/>
      <c r="D82" s="108"/>
      <c r="E82" s="96"/>
      <c r="F82" s="87" t="s">
        <v>234</v>
      </c>
      <c r="G82" s="88" t="s">
        <v>3</v>
      </c>
      <c r="H82" s="88">
        <v>0.4</v>
      </c>
      <c r="I82" s="89">
        <f>74601/2</f>
        <v>37300.5</v>
      </c>
      <c r="J82" s="76"/>
      <c r="K82" s="76"/>
      <c r="L82" s="87" t="s">
        <v>114</v>
      </c>
      <c r="M82" s="90">
        <v>0.4</v>
      </c>
      <c r="N82" s="88" t="s">
        <v>3</v>
      </c>
      <c r="O82" s="89">
        <f>108616/2</f>
        <v>54308</v>
      </c>
      <c r="P82" s="76"/>
      <c r="Q82" s="76"/>
      <c r="R82" s="91" t="s">
        <v>259</v>
      </c>
      <c r="S82" s="92" t="s">
        <v>17</v>
      </c>
      <c r="T82" s="93">
        <f>1021.6/2</f>
        <v>510.8</v>
      </c>
      <c r="U82" s="76"/>
      <c r="V82" s="78"/>
      <c r="W82" s="78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</row>
    <row r="83" spans="1:33" ht="15">
      <c r="A83" s="79"/>
      <c r="B83" s="94"/>
      <c r="C83" s="86"/>
      <c r="D83" s="108"/>
      <c r="E83" s="96"/>
      <c r="F83" s="87" t="s">
        <v>235</v>
      </c>
      <c r="G83" s="88" t="s">
        <v>3</v>
      </c>
      <c r="H83" s="88">
        <v>0.4</v>
      </c>
      <c r="I83" s="89">
        <f>92206/2</f>
        <v>46103</v>
      </c>
      <c r="J83" s="76"/>
      <c r="K83" s="76"/>
      <c r="L83" s="87" t="s">
        <v>115</v>
      </c>
      <c r="M83" s="90">
        <v>0.4</v>
      </c>
      <c r="N83" s="88" t="s">
        <v>3</v>
      </c>
      <c r="O83" s="89">
        <f>120274/2</f>
        <v>60137</v>
      </c>
      <c r="P83" s="76"/>
      <c r="Q83" s="76"/>
      <c r="R83" s="91" t="s">
        <v>260</v>
      </c>
      <c r="S83" s="92" t="s">
        <v>17</v>
      </c>
      <c r="T83" s="93">
        <f>886.7/2</f>
        <v>443.35</v>
      </c>
      <c r="U83" s="76"/>
      <c r="V83" s="78"/>
      <c r="W83" s="78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</row>
    <row r="84" spans="1:33" ht="15">
      <c r="A84" s="79"/>
      <c r="B84" s="94"/>
      <c r="C84" s="86"/>
      <c r="D84" s="108"/>
      <c r="E84" s="96"/>
      <c r="F84" s="87" t="s">
        <v>236</v>
      </c>
      <c r="G84" s="88" t="s">
        <v>3</v>
      </c>
      <c r="H84" s="88">
        <v>0.4</v>
      </c>
      <c r="I84" s="89">
        <f>111912/2</f>
        <v>55956</v>
      </c>
      <c r="J84" s="76"/>
      <c r="K84" s="76"/>
      <c r="L84" s="87" t="s">
        <v>116</v>
      </c>
      <c r="M84" s="90">
        <v>0.4</v>
      </c>
      <c r="N84" s="88" t="s">
        <v>3</v>
      </c>
      <c r="O84" s="89">
        <f>141622/2</f>
        <v>70811</v>
      </c>
      <c r="P84" s="76"/>
      <c r="Q84" s="76"/>
      <c r="R84" s="91" t="s">
        <v>261</v>
      </c>
      <c r="S84" s="92" t="s">
        <v>17</v>
      </c>
      <c r="T84" s="93">
        <f>629.1/2</f>
        <v>314.55</v>
      </c>
      <c r="U84" s="76"/>
      <c r="V84" s="78"/>
      <c r="W84" s="78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</row>
    <row r="85" spans="1:33" ht="15">
      <c r="A85" s="79"/>
      <c r="B85" s="94"/>
      <c r="C85" s="86"/>
      <c r="D85" s="108"/>
      <c r="E85" s="96"/>
      <c r="F85" s="87" t="s">
        <v>237</v>
      </c>
      <c r="G85" s="88" t="s">
        <v>3</v>
      </c>
      <c r="H85" s="88">
        <v>0.4</v>
      </c>
      <c r="I85" s="89">
        <f>134247/2</f>
        <v>67123.5</v>
      </c>
      <c r="J85" s="76"/>
      <c r="K85" s="76"/>
      <c r="L85" s="87" t="s">
        <v>117</v>
      </c>
      <c r="M85" s="90">
        <v>0.4</v>
      </c>
      <c r="N85" s="88" t="s">
        <v>3</v>
      </c>
      <c r="O85" s="89">
        <f>142113.4/2</f>
        <v>71056.7</v>
      </c>
      <c r="P85" s="76"/>
      <c r="Q85" s="76"/>
      <c r="R85" s="91" t="s">
        <v>262</v>
      </c>
      <c r="S85" s="92" t="s">
        <v>17</v>
      </c>
      <c r="T85" s="93">
        <f>465.5/2</f>
        <v>232.75</v>
      </c>
      <c r="U85" s="76"/>
      <c r="V85" s="78"/>
      <c r="W85" s="78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</row>
    <row r="86" spans="1:23" ht="15">
      <c r="A86" s="81"/>
      <c r="B86" s="97"/>
      <c r="C86" s="98"/>
      <c r="D86" s="95"/>
      <c r="E86" s="96"/>
      <c r="F86" s="82" t="s">
        <v>24</v>
      </c>
      <c r="G86" s="88"/>
      <c r="H86" s="88"/>
      <c r="I86" s="89"/>
      <c r="J86" s="76"/>
      <c r="K86" s="76"/>
      <c r="L86" s="87" t="s">
        <v>118</v>
      </c>
      <c r="M86" s="90">
        <v>0.4</v>
      </c>
      <c r="N86" s="88" t="s">
        <v>3</v>
      </c>
      <c r="O86" s="89">
        <f>152554/2</f>
        <v>76277</v>
      </c>
      <c r="P86" s="76"/>
      <c r="Q86" s="76"/>
      <c r="R86" s="91" t="s">
        <v>263</v>
      </c>
      <c r="S86" s="92" t="s">
        <v>17</v>
      </c>
      <c r="T86" s="93">
        <f>324.7/2</f>
        <v>162.35</v>
      </c>
      <c r="U86" s="76"/>
      <c r="V86" s="78"/>
      <c r="W86" s="78"/>
    </row>
    <row r="87" spans="1:23" ht="15">
      <c r="A87" s="78"/>
      <c r="B87" s="78"/>
      <c r="C87" s="78"/>
      <c r="D87" s="78"/>
      <c r="E87" s="78"/>
      <c r="F87" s="87" t="s">
        <v>103</v>
      </c>
      <c r="G87" s="88" t="s">
        <v>3</v>
      </c>
      <c r="H87" s="88" t="s">
        <v>0</v>
      </c>
      <c r="I87" s="89">
        <f>242436/2</f>
        <v>121218</v>
      </c>
      <c r="J87" s="76"/>
      <c r="K87" s="76"/>
      <c r="L87" s="87" t="s">
        <v>119</v>
      </c>
      <c r="M87" s="90">
        <v>0.4</v>
      </c>
      <c r="N87" s="88" t="s">
        <v>3</v>
      </c>
      <c r="O87" s="89">
        <f>175637/2</f>
        <v>87818.5</v>
      </c>
      <c r="P87" s="76"/>
      <c r="Q87" s="76"/>
      <c r="R87" s="91" t="s">
        <v>207</v>
      </c>
      <c r="S87" s="92" t="s">
        <v>17</v>
      </c>
      <c r="T87" s="93">
        <f>1789.3/2</f>
        <v>894.65</v>
      </c>
      <c r="U87" s="76"/>
      <c r="V87" s="78"/>
      <c r="W87" s="78"/>
    </row>
    <row r="88" spans="1:23" ht="15">
      <c r="A88" s="78"/>
      <c r="B88" s="78"/>
      <c r="C88" s="78"/>
      <c r="D88" s="78"/>
      <c r="E88" s="78"/>
      <c r="F88" s="87" t="s">
        <v>104</v>
      </c>
      <c r="G88" s="88" t="s">
        <v>3</v>
      </c>
      <c r="H88" s="88" t="s">
        <v>0</v>
      </c>
      <c r="I88" s="89">
        <f>258025/2</f>
        <v>129012.5</v>
      </c>
      <c r="J88" s="76"/>
      <c r="K88" s="76"/>
      <c r="L88" s="87" t="s">
        <v>120</v>
      </c>
      <c r="M88" s="90">
        <v>0.4</v>
      </c>
      <c r="N88" s="88" t="s">
        <v>3</v>
      </c>
      <c r="O88" s="89">
        <f>184905/2</f>
        <v>92452.5</v>
      </c>
      <c r="P88" s="76"/>
      <c r="Q88" s="76"/>
      <c r="R88" s="91" t="s">
        <v>208</v>
      </c>
      <c r="S88" s="92" t="s">
        <v>17</v>
      </c>
      <c r="T88" s="93">
        <f>1136.9/2</f>
        <v>568.45</v>
      </c>
      <c r="U88" s="76"/>
      <c r="V88" s="78"/>
      <c r="W88" s="78"/>
    </row>
    <row r="89" spans="1:23" ht="15">
      <c r="A89" s="78"/>
      <c r="B89" s="78"/>
      <c r="C89" s="78"/>
      <c r="D89" s="78"/>
      <c r="E89" s="78"/>
      <c r="F89" s="87" t="s">
        <v>105</v>
      </c>
      <c r="G89" s="88" t="s">
        <v>3</v>
      </c>
      <c r="H89" s="88" t="s">
        <v>0</v>
      </c>
      <c r="I89" s="89">
        <f>273043/2</f>
        <v>136521.5</v>
      </c>
      <c r="J89" s="76"/>
      <c r="K89" s="76"/>
      <c r="L89" s="87" t="s">
        <v>121</v>
      </c>
      <c r="M89" s="90">
        <v>0.4</v>
      </c>
      <c r="N89" s="88" t="s">
        <v>3</v>
      </c>
      <c r="O89" s="89">
        <f>146549/2</f>
        <v>73274.5</v>
      </c>
      <c r="P89" s="76"/>
      <c r="Q89" s="76"/>
      <c r="R89" s="91" t="s">
        <v>209</v>
      </c>
      <c r="S89" s="92" t="s">
        <v>17</v>
      </c>
      <c r="T89" s="93">
        <f>853/2</f>
        <v>426.5</v>
      </c>
      <c r="U89" s="76"/>
      <c r="V89" s="78"/>
      <c r="W89" s="78"/>
    </row>
    <row r="90" spans="1:23" ht="15">
      <c r="A90" s="78"/>
      <c r="B90" s="78"/>
      <c r="C90" s="78"/>
      <c r="D90" s="78"/>
      <c r="E90" s="78"/>
      <c r="F90" s="87" t="s">
        <v>106</v>
      </c>
      <c r="G90" s="88" t="s">
        <v>3</v>
      </c>
      <c r="H90" s="88" t="s">
        <v>0</v>
      </c>
      <c r="I90" s="89">
        <f>298570/2</f>
        <v>149285</v>
      </c>
      <c r="J90" s="78"/>
      <c r="K90" s="78"/>
      <c r="L90" s="87" t="s">
        <v>122</v>
      </c>
      <c r="M90" s="90">
        <v>0.4</v>
      </c>
      <c r="N90" s="88" t="s">
        <v>3</v>
      </c>
      <c r="O90" s="89">
        <f>171446/2</f>
        <v>85723</v>
      </c>
      <c r="P90" s="78"/>
      <c r="Q90" s="78"/>
      <c r="R90" s="91" t="s">
        <v>210</v>
      </c>
      <c r="S90" s="92" t="s">
        <v>17</v>
      </c>
      <c r="T90" s="93">
        <f>606.4/2</f>
        <v>303.2</v>
      </c>
      <c r="U90" s="78"/>
      <c r="V90" s="78"/>
      <c r="W90" s="78"/>
    </row>
    <row r="91" spans="1:23" ht="15">
      <c r="A91" s="78"/>
      <c r="B91" s="78"/>
      <c r="C91" s="78"/>
      <c r="D91" s="78"/>
      <c r="E91" s="78"/>
      <c r="F91" s="87" t="s">
        <v>107</v>
      </c>
      <c r="G91" s="88" t="s">
        <v>3</v>
      </c>
      <c r="H91" s="88" t="s">
        <v>0</v>
      </c>
      <c r="I91" s="89">
        <f>318818/2</f>
        <v>159409</v>
      </c>
      <c r="J91" s="78"/>
      <c r="K91" s="78"/>
      <c r="L91" s="87" t="s">
        <v>123</v>
      </c>
      <c r="M91" s="90">
        <v>0.4</v>
      </c>
      <c r="N91" s="88" t="s">
        <v>3</v>
      </c>
      <c r="O91" s="89">
        <f>213227/2</f>
        <v>106613.5</v>
      </c>
      <c r="P91" s="78"/>
      <c r="Q91" s="78"/>
      <c r="R91" s="91" t="s">
        <v>211</v>
      </c>
      <c r="S91" s="92" t="s">
        <v>17</v>
      </c>
      <c r="T91" s="93">
        <f>1360.9/2</f>
        <v>680.45</v>
      </c>
      <c r="U91" s="78"/>
      <c r="V91" s="78"/>
      <c r="W91" s="78"/>
    </row>
    <row r="92" spans="1:23" ht="15">
      <c r="A92" s="78"/>
      <c r="B92" s="78"/>
      <c r="C92" s="78"/>
      <c r="D92" s="78"/>
      <c r="E92" s="78"/>
      <c r="F92" s="87" t="s">
        <v>108</v>
      </c>
      <c r="G92" s="88" t="s">
        <v>3</v>
      </c>
      <c r="H92" s="88" t="s">
        <v>0</v>
      </c>
      <c r="I92" s="89">
        <f>361775/2</f>
        <v>180887.5</v>
      </c>
      <c r="J92" s="78"/>
      <c r="K92" s="78"/>
      <c r="L92" s="87" t="s">
        <v>124</v>
      </c>
      <c r="M92" s="90">
        <v>0.4</v>
      </c>
      <c r="N92" s="88" t="s">
        <v>3</v>
      </c>
      <c r="O92" s="89">
        <f>269240/2</f>
        <v>134620</v>
      </c>
      <c r="P92" s="78"/>
      <c r="Q92" s="78"/>
      <c r="R92" s="91" t="s">
        <v>212</v>
      </c>
      <c r="S92" s="92" t="s">
        <v>17</v>
      </c>
      <c r="T92" s="93">
        <f>899.9/2</f>
        <v>449.95</v>
      </c>
      <c r="U92" s="78"/>
      <c r="V92" s="78"/>
      <c r="W92" s="78"/>
    </row>
    <row r="93" spans="1:23" ht="15">
      <c r="A93" s="78"/>
      <c r="B93" s="78"/>
      <c r="C93" s="78"/>
      <c r="D93" s="78"/>
      <c r="E93" s="78"/>
      <c r="F93" s="87" t="s">
        <v>109</v>
      </c>
      <c r="G93" s="88" t="s">
        <v>3</v>
      </c>
      <c r="H93" s="88" t="s">
        <v>0</v>
      </c>
      <c r="I93" s="89">
        <f>412539/2</f>
        <v>206269.5</v>
      </c>
      <c r="J93" s="78"/>
      <c r="K93" s="78"/>
      <c r="L93" s="87" t="s">
        <v>125</v>
      </c>
      <c r="M93" s="90">
        <v>0.4</v>
      </c>
      <c r="N93" s="88" t="s">
        <v>3</v>
      </c>
      <c r="O93" s="89">
        <f>252127/2</f>
        <v>126063.5</v>
      </c>
      <c r="P93" s="78"/>
      <c r="Q93" s="78"/>
      <c r="R93" s="91" t="s">
        <v>213</v>
      </c>
      <c r="S93" s="92" t="s">
        <v>17</v>
      </c>
      <c r="T93" s="93">
        <f>605.5/2</f>
        <v>302.75</v>
      </c>
      <c r="U93" s="78"/>
      <c r="V93" s="78"/>
      <c r="W93" s="78"/>
    </row>
    <row r="94" spans="1:23" ht="15">
      <c r="A94" s="78"/>
      <c r="B94" s="78"/>
      <c r="C94" s="78"/>
      <c r="D94" s="78"/>
      <c r="E94" s="78"/>
      <c r="F94" s="87" t="s">
        <v>110</v>
      </c>
      <c r="G94" s="88" t="s">
        <v>3</v>
      </c>
      <c r="H94" s="88" t="s">
        <v>0</v>
      </c>
      <c r="I94" s="89">
        <f>452917/2</f>
        <v>226458.5</v>
      </c>
      <c r="J94" s="78"/>
      <c r="K94" s="78"/>
      <c r="L94" s="87" t="s">
        <v>126</v>
      </c>
      <c r="M94" s="90">
        <v>0.4</v>
      </c>
      <c r="N94" s="88" t="s">
        <v>3</v>
      </c>
      <c r="O94" s="89">
        <f>299494/2</f>
        <v>149747</v>
      </c>
      <c r="P94" s="78"/>
      <c r="Q94" s="78"/>
      <c r="R94" s="91" t="s">
        <v>214</v>
      </c>
      <c r="S94" s="92" t="s">
        <v>17</v>
      </c>
      <c r="T94" s="93">
        <f>1161.6/2</f>
        <v>580.8</v>
      </c>
      <c r="U94" s="78"/>
      <c r="V94" s="78"/>
      <c r="W94" s="78"/>
    </row>
    <row r="95" spans="1:23" ht="15">
      <c r="A95" s="78"/>
      <c r="B95" s="78"/>
      <c r="C95" s="78"/>
      <c r="D95" s="78"/>
      <c r="E95" s="78"/>
      <c r="F95" s="87" t="s">
        <v>146</v>
      </c>
      <c r="G95" s="88" t="s">
        <v>3</v>
      </c>
      <c r="H95" s="88" t="s">
        <v>0</v>
      </c>
      <c r="I95" s="89">
        <f>151199/2</f>
        <v>75599.5</v>
      </c>
      <c r="J95" s="78"/>
      <c r="K95" s="78"/>
      <c r="L95" s="87" t="s">
        <v>127</v>
      </c>
      <c r="M95" s="90">
        <v>0.4</v>
      </c>
      <c r="N95" s="88" t="s">
        <v>3</v>
      </c>
      <c r="O95" s="89">
        <f>366136/2</f>
        <v>183068</v>
      </c>
      <c r="P95" s="78"/>
      <c r="Q95" s="78"/>
      <c r="R95" s="91" t="s">
        <v>129</v>
      </c>
      <c r="S95" s="92" t="s">
        <v>17</v>
      </c>
      <c r="T95" s="93">
        <f>12.2/2</f>
        <v>6.1</v>
      </c>
      <c r="U95" s="78"/>
      <c r="V95" s="78"/>
      <c r="W95" s="78"/>
    </row>
    <row r="96" spans="1:23" ht="135">
      <c r="A96" s="78"/>
      <c r="B96" s="78"/>
      <c r="C96" s="78"/>
      <c r="D96" s="78"/>
      <c r="E96" s="78"/>
      <c r="F96" s="87" t="s">
        <v>250</v>
      </c>
      <c r="G96" s="88" t="s">
        <v>3</v>
      </c>
      <c r="H96" s="88" t="s">
        <v>0</v>
      </c>
      <c r="I96" s="89">
        <f>167610/2</f>
        <v>83805</v>
      </c>
      <c r="J96" s="78"/>
      <c r="K96" s="78"/>
      <c r="L96" s="109" t="s">
        <v>264</v>
      </c>
      <c r="M96" s="90">
        <v>0.4</v>
      </c>
      <c r="N96" s="88" t="s">
        <v>3</v>
      </c>
      <c r="O96" s="100">
        <v>195220</v>
      </c>
      <c r="P96" s="78"/>
      <c r="Q96" s="78"/>
      <c r="R96" s="91" t="s">
        <v>130</v>
      </c>
      <c r="S96" s="92" t="s">
        <v>17</v>
      </c>
      <c r="T96" s="93">
        <f>8.7/2</f>
        <v>4.35</v>
      </c>
      <c r="U96" s="78"/>
      <c r="V96" s="78"/>
      <c r="W96" s="78"/>
    </row>
    <row r="97" spans="1:23" ht="15">
      <c r="A97" s="78"/>
      <c r="B97" s="78"/>
      <c r="C97" s="78"/>
      <c r="D97" s="78"/>
      <c r="E97" s="78"/>
      <c r="F97" s="87" t="s">
        <v>147</v>
      </c>
      <c r="G97" s="88" t="s">
        <v>3</v>
      </c>
      <c r="H97" s="88" t="s">
        <v>0</v>
      </c>
      <c r="I97" s="89">
        <f>177695/2</f>
        <v>88847.5</v>
      </c>
      <c r="J97" s="78"/>
      <c r="K97" s="78"/>
      <c r="L97" s="82" t="s">
        <v>24</v>
      </c>
      <c r="M97" s="88"/>
      <c r="N97" s="88"/>
      <c r="O97" s="89"/>
      <c r="P97" s="78"/>
      <c r="Q97" s="78"/>
      <c r="R97" s="101" t="s">
        <v>131</v>
      </c>
      <c r="S97" s="92" t="s">
        <v>17</v>
      </c>
      <c r="T97" s="110">
        <v>13.15</v>
      </c>
      <c r="U97" s="78"/>
      <c r="V97" s="78"/>
      <c r="W97" s="78"/>
    </row>
    <row r="98" spans="1:23" ht="15">
      <c r="A98" s="78"/>
      <c r="B98" s="78"/>
      <c r="C98" s="78"/>
      <c r="D98" s="78"/>
      <c r="E98" s="78"/>
      <c r="F98" s="87" t="s">
        <v>148</v>
      </c>
      <c r="G98" s="88" t="s">
        <v>3</v>
      </c>
      <c r="H98" s="88" t="s">
        <v>0</v>
      </c>
      <c r="I98" s="89">
        <f>198599/2</f>
        <v>99299.5</v>
      </c>
      <c r="J98" s="78"/>
      <c r="K98" s="78"/>
      <c r="L98" s="87" t="s">
        <v>152</v>
      </c>
      <c r="M98" s="88" t="s">
        <v>0</v>
      </c>
      <c r="N98" s="88" t="s">
        <v>3</v>
      </c>
      <c r="O98" s="89">
        <f>224284/2</f>
        <v>112142</v>
      </c>
      <c r="P98" s="78"/>
      <c r="Q98" s="78"/>
      <c r="R98" s="91" t="s">
        <v>132</v>
      </c>
      <c r="S98" s="92" t="s">
        <v>17</v>
      </c>
      <c r="T98" s="93">
        <f>103/2</f>
        <v>51.5</v>
      </c>
      <c r="U98" s="78"/>
      <c r="V98" s="78"/>
      <c r="W98" s="78"/>
    </row>
    <row r="99" spans="1:23" ht="15">
      <c r="A99" s="78"/>
      <c r="B99" s="78"/>
      <c r="C99" s="78"/>
      <c r="D99" s="78"/>
      <c r="E99" s="78"/>
      <c r="F99" s="87" t="s">
        <v>149</v>
      </c>
      <c r="G99" s="88" t="s">
        <v>3</v>
      </c>
      <c r="H99" s="88" t="s">
        <v>0</v>
      </c>
      <c r="I99" s="89">
        <f>218705/2</f>
        <v>109352.5</v>
      </c>
      <c r="J99" s="78"/>
      <c r="K99" s="78"/>
      <c r="L99" s="87" t="s">
        <v>153</v>
      </c>
      <c r="M99" s="88" t="s">
        <v>0</v>
      </c>
      <c r="N99" s="88" t="s">
        <v>3</v>
      </c>
      <c r="O99" s="89">
        <f>376891/2</f>
        <v>188445.5</v>
      </c>
      <c r="P99" s="78"/>
      <c r="Q99" s="78"/>
      <c r="R99" s="91" t="s">
        <v>133</v>
      </c>
      <c r="S99" s="92" t="s">
        <v>17</v>
      </c>
      <c r="T99" s="93">
        <f>134.3/2</f>
        <v>67.15</v>
      </c>
      <c r="U99" s="78"/>
      <c r="V99" s="78"/>
      <c r="W99" s="78"/>
    </row>
    <row r="100" spans="1:23" ht="15">
      <c r="A100" s="78"/>
      <c r="B100" s="78"/>
      <c r="C100" s="78"/>
      <c r="D100" s="78"/>
      <c r="E100" s="78"/>
      <c r="F100" s="87" t="s">
        <v>150</v>
      </c>
      <c r="G100" s="88" t="s">
        <v>3</v>
      </c>
      <c r="H100" s="88" t="s">
        <v>0</v>
      </c>
      <c r="I100" s="89">
        <f>318726/2</f>
        <v>159363</v>
      </c>
      <c r="J100" s="78"/>
      <c r="K100" s="78"/>
      <c r="L100" s="87" t="s">
        <v>154</v>
      </c>
      <c r="M100" s="88" t="s">
        <v>0</v>
      </c>
      <c r="N100" s="88" t="s">
        <v>3</v>
      </c>
      <c r="O100" s="89">
        <f>239257/2</f>
        <v>119628.5</v>
      </c>
      <c r="P100" s="78"/>
      <c r="Q100" s="78"/>
      <c r="R100" s="91" t="s">
        <v>134</v>
      </c>
      <c r="S100" s="92" t="s">
        <v>17</v>
      </c>
      <c r="T100" s="93">
        <f>3.6/2</f>
        <v>1.8</v>
      </c>
      <c r="U100" s="78"/>
      <c r="V100" s="78"/>
      <c r="W100" s="78"/>
    </row>
    <row r="101" spans="1:23" ht="15">
      <c r="A101" s="78"/>
      <c r="B101" s="78"/>
      <c r="C101" s="78"/>
      <c r="D101" s="78"/>
      <c r="E101" s="78"/>
      <c r="F101" s="87" t="s">
        <v>151</v>
      </c>
      <c r="G101" s="88" t="s">
        <v>3</v>
      </c>
      <c r="H101" s="88" t="s">
        <v>0</v>
      </c>
      <c r="I101" s="89">
        <f>140521/2</f>
        <v>70260.5</v>
      </c>
      <c r="J101" s="78"/>
      <c r="K101" s="78"/>
      <c r="L101" s="87" t="s">
        <v>155</v>
      </c>
      <c r="M101" s="88" t="s">
        <v>0</v>
      </c>
      <c r="N101" s="88" t="s">
        <v>3</v>
      </c>
      <c r="O101" s="89">
        <f>375850/2</f>
        <v>187925</v>
      </c>
      <c r="P101" s="78"/>
      <c r="Q101" s="78"/>
      <c r="R101" s="91" t="s">
        <v>215</v>
      </c>
      <c r="S101" s="92" t="s">
        <v>17</v>
      </c>
      <c r="T101" s="93">
        <f>703.1/2</f>
        <v>351.55</v>
      </c>
      <c r="U101" s="78"/>
      <c r="V101" s="78"/>
      <c r="W101" s="78"/>
    </row>
    <row r="102" spans="1:23" ht="15">
      <c r="A102" s="78"/>
      <c r="B102" s="78"/>
      <c r="C102" s="78"/>
      <c r="D102" s="78"/>
      <c r="E102" s="78"/>
      <c r="F102" s="72"/>
      <c r="G102" s="72"/>
      <c r="H102" s="72"/>
      <c r="I102" s="72"/>
      <c r="J102" s="78"/>
      <c r="K102" s="78"/>
      <c r="L102" s="87" t="s">
        <v>128</v>
      </c>
      <c r="M102" s="88" t="s">
        <v>0</v>
      </c>
      <c r="N102" s="88" t="s">
        <v>3</v>
      </c>
      <c r="O102" s="89">
        <f>253548/2</f>
        <v>126774</v>
      </c>
      <c r="P102" s="78"/>
      <c r="Q102" s="78"/>
      <c r="R102" s="91" t="s">
        <v>216</v>
      </c>
      <c r="S102" s="92" t="s">
        <v>17</v>
      </c>
      <c r="T102" s="93">
        <f>349.5/2</f>
        <v>174.75</v>
      </c>
      <c r="U102" s="78"/>
      <c r="V102" s="78"/>
      <c r="W102" s="78"/>
    </row>
    <row r="103" spans="1:23" ht="15">
      <c r="A103" s="78"/>
      <c r="B103" s="78"/>
      <c r="C103" s="78"/>
      <c r="D103" s="78"/>
      <c r="E103" s="78"/>
      <c r="F103" s="72"/>
      <c r="G103" s="72"/>
      <c r="H103" s="72"/>
      <c r="I103" s="72"/>
      <c r="J103" s="78"/>
      <c r="K103" s="78"/>
      <c r="L103" s="87" t="s">
        <v>157</v>
      </c>
      <c r="M103" s="88" t="s">
        <v>0</v>
      </c>
      <c r="N103" s="88" t="s">
        <v>3</v>
      </c>
      <c r="O103" s="89">
        <f>283092/2</f>
        <v>141546</v>
      </c>
      <c r="P103" s="78"/>
      <c r="Q103" s="78"/>
      <c r="R103" s="78"/>
      <c r="S103" s="78"/>
      <c r="T103" s="78"/>
      <c r="U103" s="78"/>
      <c r="V103" s="78"/>
      <c r="W103" s="78"/>
    </row>
    <row r="104" spans="1:23" ht="15">
      <c r="A104" s="78"/>
      <c r="B104" s="78"/>
      <c r="C104" s="78"/>
      <c r="D104" s="78"/>
      <c r="E104" s="78"/>
      <c r="F104" s="72"/>
      <c r="G104" s="72"/>
      <c r="H104" s="72"/>
      <c r="I104" s="72"/>
      <c r="J104" s="78"/>
      <c r="K104" s="78"/>
      <c r="L104" s="87" t="s">
        <v>158</v>
      </c>
      <c r="M104" s="88" t="s">
        <v>0</v>
      </c>
      <c r="N104" s="88" t="s">
        <v>3</v>
      </c>
      <c r="O104" s="89">
        <f>494509/2</f>
        <v>247254.5</v>
      </c>
      <c r="P104" s="78"/>
      <c r="Q104" s="78"/>
      <c r="R104" s="78"/>
      <c r="S104" s="78"/>
      <c r="T104" s="78"/>
      <c r="U104" s="78"/>
      <c r="V104" s="78"/>
      <c r="W104" s="78"/>
    </row>
    <row r="105" spans="1:23" ht="15">
      <c r="A105" s="78"/>
      <c r="B105" s="78"/>
      <c r="C105" s="78"/>
      <c r="D105" s="78"/>
      <c r="E105" s="78"/>
      <c r="F105" s="72"/>
      <c r="G105" s="72"/>
      <c r="H105" s="72"/>
      <c r="I105" s="72"/>
      <c r="J105" s="78"/>
      <c r="K105" s="78"/>
      <c r="L105" s="87" t="s">
        <v>159</v>
      </c>
      <c r="M105" s="88" t="s">
        <v>0</v>
      </c>
      <c r="N105" s="88" t="s">
        <v>3</v>
      </c>
      <c r="O105" s="89">
        <f>270257/2</f>
        <v>135128.5</v>
      </c>
      <c r="P105" s="78"/>
      <c r="Q105" s="78"/>
      <c r="R105" s="78"/>
      <c r="S105" s="78"/>
      <c r="T105" s="78"/>
      <c r="U105" s="78"/>
      <c r="V105" s="78"/>
      <c r="W105" s="78"/>
    </row>
    <row r="106" spans="1:23" ht="15">
      <c r="A106" s="78"/>
      <c r="B106" s="78"/>
      <c r="C106" s="78"/>
      <c r="D106" s="78"/>
      <c r="E106" s="78"/>
      <c r="F106" s="72"/>
      <c r="G106" s="72"/>
      <c r="H106" s="72"/>
      <c r="I106" s="72"/>
      <c r="J106" s="78"/>
      <c r="K106" s="78"/>
      <c r="L106" s="87" t="s">
        <v>160</v>
      </c>
      <c r="M106" s="88" t="s">
        <v>0</v>
      </c>
      <c r="N106" s="88" t="s">
        <v>3</v>
      </c>
      <c r="O106" s="89">
        <f>468837/2</f>
        <v>234418.5</v>
      </c>
      <c r="P106" s="78"/>
      <c r="Q106" s="78"/>
      <c r="R106" s="78"/>
      <c r="S106" s="78"/>
      <c r="T106" s="78"/>
      <c r="U106" s="78"/>
      <c r="V106" s="78"/>
      <c r="W106" s="78"/>
    </row>
    <row r="107" spans="1:23" ht="1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87" t="s">
        <v>161</v>
      </c>
      <c r="M107" s="88" t="s">
        <v>0</v>
      </c>
      <c r="N107" s="88" t="s">
        <v>3</v>
      </c>
      <c r="O107" s="89">
        <f>293908/2</f>
        <v>146954</v>
      </c>
      <c r="P107" s="78"/>
      <c r="Q107" s="78"/>
      <c r="R107" s="78"/>
      <c r="S107" s="78"/>
      <c r="T107" s="78"/>
      <c r="U107" s="78"/>
      <c r="V107" s="78"/>
      <c r="W107" s="78"/>
    </row>
    <row r="108" spans="1:23" ht="15">
      <c r="A108" s="78"/>
      <c r="B108" s="78"/>
      <c r="C108" s="78"/>
      <c r="D108" s="78"/>
      <c r="E108" s="78"/>
      <c r="F108" s="102" t="s">
        <v>30</v>
      </c>
      <c r="G108" s="103">
        <v>0.4</v>
      </c>
      <c r="H108" s="104" t="s">
        <v>3</v>
      </c>
      <c r="I108" s="105">
        <v>116944</v>
      </c>
      <c r="J108" s="78"/>
      <c r="K108" s="78"/>
      <c r="L108" s="87" t="s">
        <v>162</v>
      </c>
      <c r="M108" s="88" t="s">
        <v>0</v>
      </c>
      <c r="N108" s="88" t="s">
        <v>3</v>
      </c>
      <c r="O108" s="89">
        <f>519264/2</f>
        <v>259632</v>
      </c>
      <c r="P108" s="78"/>
      <c r="Q108" s="78"/>
      <c r="R108" s="78"/>
      <c r="S108" s="78"/>
      <c r="T108" s="78"/>
      <c r="U108" s="78"/>
      <c r="V108" s="78"/>
      <c r="W108" s="78"/>
    </row>
    <row r="109" spans="1:23" ht="15">
      <c r="A109" s="78"/>
      <c r="B109" s="78"/>
      <c r="C109" s="78"/>
      <c r="D109" s="78"/>
      <c r="E109" s="78"/>
      <c r="F109" s="102" t="s">
        <v>31</v>
      </c>
      <c r="G109" s="103">
        <v>0.4</v>
      </c>
      <c r="H109" s="104" t="s">
        <v>3</v>
      </c>
      <c r="I109" s="105">
        <v>112362.03</v>
      </c>
      <c r="J109" s="78"/>
      <c r="K109" s="78"/>
      <c r="L109" s="87" t="s">
        <v>163</v>
      </c>
      <c r="M109" s="88" t="s">
        <v>0</v>
      </c>
      <c r="N109" s="88" t="s">
        <v>3</v>
      </c>
      <c r="O109" s="89">
        <f>331484/2</f>
        <v>165742</v>
      </c>
      <c r="P109" s="78"/>
      <c r="Q109" s="78"/>
      <c r="R109" s="78"/>
      <c r="S109" s="78"/>
      <c r="T109" s="78"/>
      <c r="U109" s="78"/>
      <c r="V109" s="78"/>
      <c r="W109" s="78"/>
    </row>
    <row r="110" spans="1:23" ht="15">
      <c r="A110" s="78"/>
      <c r="B110" s="78"/>
      <c r="C110" s="78"/>
      <c r="D110" s="78"/>
      <c r="E110" s="78"/>
      <c r="F110" s="102" t="s">
        <v>32</v>
      </c>
      <c r="G110" s="103">
        <v>0.4</v>
      </c>
      <c r="H110" s="104" t="s">
        <v>3</v>
      </c>
      <c r="I110" s="105">
        <v>120830.02</v>
      </c>
      <c r="J110" s="78"/>
      <c r="K110" s="78"/>
      <c r="L110" s="87" t="s">
        <v>164</v>
      </c>
      <c r="M110" s="88" t="s">
        <v>0</v>
      </c>
      <c r="N110" s="88" t="s">
        <v>3</v>
      </c>
      <c r="O110" s="89">
        <f>591292/2</f>
        <v>295646</v>
      </c>
      <c r="P110" s="78"/>
      <c r="Q110" s="78"/>
      <c r="R110" s="78"/>
      <c r="S110" s="78"/>
      <c r="T110" s="78"/>
      <c r="U110" s="78"/>
      <c r="V110" s="78"/>
      <c r="W110" s="78"/>
    </row>
    <row r="111" spans="1:23" ht="15">
      <c r="A111" s="78"/>
      <c r="B111" s="78"/>
      <c r="C111" s="78"/>
      <c r="D111" s="78"/>
      <c r="E111" s="78"/>
      <c r="F111" s="102" t="s">
        <v>33</v>
      </c>
      <c r="G111" s="103">
        <v>0.4</v>
      </c>
      <c r="H111" s="104" t="s">
        <v>3</v>
      </c>
      <c r="I111" s="105">
        <v>129862.03</v>
      </c>
      <c r="J111" s="78"/>
      <c r="K111" s="78"/>
      <c r="L111" s="87" t="s">
        <v>165</v>
      </c>
      <c r="M111" s="88" t="s">
        <v>0</v>
      </c>
      <c r="N111" s="88" t="s">
        <v>3</v>
      </c>
      <c r="O111" s="89">
        <f>1066846/2</f>
        <v>533423</v>
      </c>
      <c r="P111" s="78"/>
      <c r="Q111" s="78"/>
      <c r="R111" s="72"/>
      <c r="S111" s="72"/>
      <c r="T111" s="72"/>
      <c r="U111" s="78"/>
      <c r="V111" s="78"/>
      <c r="W111" s="78"/>
    </row>
    <row r="112" spans="1:23" ht="15">
      <c r="A112" s="78"/>
      <c r="B112" s="78"/>
      <c r="C112" s="78"/>
      <c r="D112" s="78"/>
      <c r="E112" s="78"/>
      <c r="F112" s="102" t="s">
        <v>34</v>
      </c>
      <c r="G112" s="103">
        <v>0.4</v>
      </c>
      <c r="H112" s="104" t="s">
        <v>3</v>
      </c>
      <c r="I112" s="105">
        <v>138814</v>
      </c>
      <c r="J112" s="78"/>
      <c r="K112" s="78"/>
      <c r="L112" s="87" t="s">
        <v>166</v>
      </c>
      <c r="M112" s="88" t="s">
        <v>0</v>
      </c>
      <c r="N112" s="88" t="s">
        <v>3</v>
      </c>
      <c r="O112" s="106">
        <f>216761/2</f>
        <v>108380.5</v>
      </c>
      <c r="P112" s="78"/>
      <c r="Q112" s="78"/>
      <c r="R112" s="72"/>
      <c r="S112" s="72"/>
      <c r="T112" s="72"/>
      <c r="U112" s="78"/>
      <c r="V112" s="78"/>
      <c r="W112" s="78"/>
    </row>
    <row r="113" spans="1:23" ht="15">
      <c r="A113" s="74"/>
      <c r="B113" s="74"/>
      <c r="C113" s="74"/>
      <c r="D113" s="74"/>
      <c r="E113" s="74"/>
      <c r="F113" s="102" t="s">
        <v>36</v>
      </c>
      <c r="G113" s="103">
        <v>0.4</v>
      </c>
      <c r="H113" s="104" t="s">
        <v>3</v>
      </c>
      <c r="I113" s="105">
        <v>136664.02</v>
      </c>
      <c r="J113" s="74"/>
      <c r="K113" s="74"/>
      <c r="L113" s="87" t="s">
        <v>167</v>
      </c>
      <c r="M113" s="88" t="s">
        <v>0</v>
      </c>
      <c r="N113" s="88" t="s">
        <v>3</v>
      </c>
      <c r="O113" s="106">
        <f>232810/2</f>
        <v>116405</v>
      </c>
      <c r="P113" s="74"/>
      <c r="Q113" s="74"/>
      <c r="R113" s="91"/>
      <c r="S113" s="92"/>
      <c r="T113" s="111"/>
      <c r="U113" s="74"/>
      <c r="V113" s="74"/>
      <c r="W113" s="72"/>
    </row>
    <row r="114" spans="1:23" ht="15">
      <c r="A114" s="74"/>
      <c r="B114" s="74"/>
      <c r="C114" s="74"/>
      <c r="D114" s="74"/>
      <c r="E114" s="74"/>
      <c r="F114" s="102" t="s">
        <v>35</v>
      </c>
      <c r="G114" s="103">
        <v>0.4</v>
      </c>
      <c r="H114" s="104" t="s">
        <v>3</v>
      </c>
      <c r="I114" s="105">
        <v>149702</v>
      </c>
      <c r="J114" s="74"/>
      <c r="K114" s="74"/>
      <c r="L114" s="87" t="s">
        <v>168</v>
      </c>
      <c r="M114" s="88" t="s">
        <v>0</v>
      </c>
      <c r="N114" s="88" t="s">
        <v>3</v>
      </c>
      <c r="O114" s="106">
        <f>237946/2</f>
        <v>118973</v>
      </c>
      <c r="P114" s="74"/>
      <c r="Q114" s="74"/>
      <c r="R114" s="72"/>
      <c r="S114" s="72"/>
      <c r="T114" s="72"/>
      <c r="U114" s="74"/>
      <c r="V114" s="74"/>
      <c r="W114" s="72"/>
    </row>
    <row r="115" spans="1:23" ht="15">
      <c r="A115" s="74"/>
      <c r="B115" s="74"/>
      <c r="C115" s="74"/>
      <c r="D115" s="74"/>
      <c r="E115" s="74"/>
      <c r="F115" s="102" t="s">
        <v>81</v>
      </c>
      <c r="G115" s="103">
        <v>0.4</v>
      </c>
      <c r="H115" s="104" t="s">
        <v>3</v>
      </c>
      <c r="I115" s="105">
        <v>165533</v>
      </c>
      <c r="J115" s="74"/>
      <c r="K115" s="74"/>
      <c r="L115" s="87" t="s">
        <v>169</v>
      </c>
      <c r="M115" s="88" t="s">
        <v>0</v>
      </c>
      <c r="N115" s="88" t="s">
        <v>3</v>
      </c>
      <c r="O115" s="106">
        <f>242828/2</f>
        <v>121414</v>
      </c>
      <c r="P115" s="74"/>
      <c r="Q115" s="74"/>
      <c r="R115" s="72"/>
      <c r="S115" s="72"/>
      <c r="T115" s="72"/>
      <c r="U115" s="74"/>
      <c r="V115" s="74"/>
      <c r="W115" s="72"/>
    </row>
    <row r="116" spans="1:23" ht="15">
      <c r="A116" s="74"/>
      <c r="B116" s="74"/>
      <c r="C116" s="74"/>
      <c r="D116" s="74"/>
      <c r="E116" s="74"/>
      <c r="F116" s="102"/>
      <c r="G116" s="103"/>
      <c r="H116" s="104"/>
      <c r="I116" s="105"/>
      <c r="J116" s="74"/>
      <c r="K116" s="74"/>
      <c r="L116" s="87" t="s">
        <v>170</v>
      </c>
      <c r="M116" s="88" t="s">
        <v>0</v>
      </c>
      <c r="N116" s="88" t="s">
        <v>3</v>
      </c>
      <c r="O116" s="106">
        <f>257373/2</f>
        <v>128686.5</v>
      </c>
      <c r="P116" s="74"/>
      <c r="Q116" s="74"/>
      <c r="R116" s="72"/>
      <c r="S116" s="72"/>
      <c r="T116" s="72"/>
      <c r="U116" s="74"/>
      <c r="V116" s="74"/>
      <c r="W116" s="72"/>
    </row>
    <row r="117" spans="1:23" ht="15">
      <c r="A117" s="74"/>
      <c r="B117" s="74"/>
      <c r="C117" s="74"/>
      <c r="D117" s="74"/>
      <c r="E117" s="74"/>
      <c r="F117" s="102"/>
      <c r="G117" s="103"/>
      <c r="H117" s="104"/>
      <c r="I117" s="105"/>
      <c r="J117" s="74"/>
      <c r="K117" s="74"/>
      <c r="L117" s="87" t="s">
        <v>171</v>
      </c>
      <c r="M117" s="88" t="s">
        <v>0</v>
      </c>
      <c r="N117" s="88" t="s">
        <v>3</v>
      </c>
      <c r="O117" s="106">
        <f>325207/2</f>
        <v>162603.5</v>
      </c>
      <c r="P117" s="74"/>
      <c r="Q117" s="74"/>
      <c r="R117" s="72"/>
      <c r="S117" s="72"/>
      <c r="T117" s="72"/>
      <c r="U117" s="74"/>
      <c r="V117" s="74"/>
      <c r="W117" s="72"/>
    </row>
    <row r="118" spans="1:23" ht="15">
      <c r="A118" s="74"/>
      <c r="B118" s="74"/>
      <c r="C118" s="74"/>
      <c r="D118" s="74"/>
      <c r="E118" s="74"/>
      <c r="F118" s="102" t="s">
        <v>24</v>
      </c>
      <c r="G118" s="104"/>
      <c r="H118" s="104"/>
      <c r="I118" s="105"/>
      <c r="J118" s="74"/>
      <c r="K118" s="74"/>
      <c r="L118" s="87" t="s">
        <v>251</v>
      </c>
      <c r="M118" s="88" t="s">
        <v>0</v>
      </c>
      <c r="N118" s="88" t="s">
        <v>3</v>
      </c>
      <c r="O118" s="106">
        <f>491736/2</f>
        <v>245868</v>
      </c>
      <c r="P118" s="74"/>
      <c r="Q118" s="74"/>
      <c r="R118" s="74"/>
      <c r="S118" s="74"/>
      <c r="T118" s="74"/>
      <c r="U118" s="74"/>
      <c r="V118" s="74"/>
      <c r="W118" s="72"/>
    </row>
    <row r="119" spans="1:23" ht="15">
      <c r="A119" s="74"/>
      <c r="B119" s="74"/>
      <c r="C119" s="74"/>
      <c r="D119" s="74"/>
      <c r="E119" s="74"/>
      <c r="F119" s="102" t="s">
        <v>37</v>
      </c>
      <c r="G119" s="104" t="s">
        <v>0</v>
      </c>
      <c r="H119" s="104" t="s">
        <v>3</v>
      </c>
      <c r="I119" s="105">
        <v>300774</v>
      </c>
      <c r="J119" s="74"/>
      <c r="K119" s="74"/>
      <c r="L119" s="87" t="s">
        <v>173</v>
      </c>
      <c r="M119" s="88" t="s">
        <v>0</v>
      </c>
      <c r="N119" s="88" t="s">
        <v>3</v>
      </c>
      <c r="O119" s="100">
        <f>237997/2</f>
        <v>118998.5</v>
      </c>
      <c r="P119" s="74"/>
      <c r="Q119" s="74"/>
      <c r="R119" s="74"/>
      <c r="S119" s="74"/>
      <c r="T119" s="74"/>
      <c r="U119" s="74"/>
      <c r="V119" s="74"/>
      <c r="W119" s="72"/>
    </row>
    <row r="120" spans="1:23" ht="15">
      <c r="A120" s="74"/>
      <c r="B120" s="74"/>
      <c r="C120" s="74"/>
      <c r="D120" s="74"/>
      <c r="E120" s="74"/>
      <c r="F120" s="102" t="s">
        <v>38</v>
      </c>
      <c r="G120" s="104" t="s">
        <v>0</v>
      </c>
      <c r="H120" s="104" t="s">
        <v>3</v>
      </c>
      <c r="I120" s="105">
        <v>300449</v>
      </c>
      <c r="J120" s="74"/>
      <c r="K120" s="74"/>
      <c r="L120" s="87" t="s">
        <v>174</v>
      </c>
      <c r="M120" s="88" t="s">
        <v>0</v>
      </c>
      <c r="N120" s="88" t="s">
        <v>3</v>
      </c>
      <c r="O120" s="100">
        <f>252410/2</f>
        <v>126205</v>
      </c>
      <c r="P120" s="74"/>
      <c r="Q120" s="74"/>
      <c r="R120" s="74"/>
      <c r="S120" s="74"/>
      <c r="T120" s="74"/>
      <c r="U120" s="74"/>
      <c r="V120" s="74"/>
      <c r="W120" s="72"/>
    </row>
    <row r="121" spans="1:23" ht="15">
      <c r="A121" s="74"/>
      <c r="B121" s="74"/>
      <c r="C121" s="74"/>
      <c r="D121" s="74"/>
      <c r="E121" s="74"/>
      <c r="F121" s="102" t="s">
        <v>39</v>
      </c>
      <c r="G121" s="104" t="s">
        <v>0</v>
      </c>
      <c r="H121" s="104" t="s">
        <v>3</v>
      </c>
      <c r="I121" s="105">
        <v>359582</v>
      </c>
      <c r="J121" s="74"/>
      <c r="K121" s="74"/>
      <c r="L121" s="87" t="s">
        <v>175</v>
      </c>
      <c r="M121" s="88" t="s">
        <v>0</v>
      </c>
      <c r="N121" s="88" t="s">
        <v>3</v>
      </c>
      <c r="O121" s="100">
        <f>271688/2</f>
        <v>135844</v>
      </c>
      <c r="P121" s="74"/>
      <c r="Q121" s="74"/>
      <c r="R121" s="74"/>
      <c r="S121" s="74"/>
      <c r="T121" s="74"/>
      <c r="U121" s="74"/>
      <c r="V121" s="74"/>
      <c r="W121" s="72"/>
    </row>
    <row r="122" spans="1:23" ht="15">
      <c r="A122" s="74"/>
      <c r="B122" s="74"/>
      <c r="C122" s="74"/>
      <c r="D122" s="74"/>
      <c r="E122" s="74"/>
      <c r="F122" s="102" t="s">
        <v>40</v>
      </c>
      <c r="G122" s="104" t="s">
        <v>0</v>
      </c>
      <c r="H122" s="104" t="s">
        <v>3</v>
      </c>
      <c r="I122" s="105">
        <v>346747</v>
      </c>
      <c r="J122" s="74"/>
      <c r="K122" s="74"/>
      <c r="L122" s="87" t="s">
        <v>176</v>
      </c>
      <c r="M122" s="88" t="s">
        <v>0</v>
      </c>
      <c r="N122" s="88" t="s">
        <v>3</v>
      </c>
      <c r="O122" s="89">
        <f>282398/2</f>
        <v>141199</v>
      </c>
      <c r="P122" s="74"/>
      <c r="Q122" s="74"/>
      <c r="R122" s="74"/>
      <c r="S122" s="74"/>
      <c r="T122" s="74"/>
      <c r="U122" s="74"/>
      <c r="V122" s="74"/>
      <c r="W122" s="72"/>
    </row>
    <row r="123" spans="1:23" ht="15">
      <c r="A123" s="74"/>
      <c r="B123" s="74"/>
      <c r="C123" s="74"/>
      <c r="D123" s="74"/>
      <c r="E123" s="74"/>
      <c r="F123" s="102" t="s">
        <v>41</v>
      </c>
      <c r="G123" s="104" t="s">
        <v>0</v>
      </c>
      <c r="H123" s="104" t="s">
        <v>3</v>
      </c>
      <c r="I123" s="105">
        <v>370398</v>
      </c>
      <c r="J123" s="74"/>
      <c r="K123" s="74"/>
      <c r="L123" s="87" t="s">
        <v>177</v>
      </c>
      <c r="M123" s="88" t="s">
        <v>0</v>
      </c>
      <c r="N123" s="88" t="s">
        <v>3</v>
      </c>
      <c r="O123" s="89">
        <f>304124/2</f>
        <v>152062</v>
      </c>
      <c r="P123" s="74"/>
      <c r="Q123" s="74"/>
      <c r="R123" s="74"/>
      <c r="S123" s="74"/>
      <c r="T123" s="74"/>
      <c r="U123" s="74"/>
      <c r="V123" s="74"/>
      <c r="W123" s="72"/>
    </row>
    <row r="124" spans="1:23" ht="15">
      <c r="A124" s="74"/>
      <c r="B124" s="74"/>
      <c r="C124" s="74"/>
      <c r="D124" s="74"/>
      <c r="E124" s="74"/>
      <c r="F124" s="102" t="s">
        <v>42</v>
      </c>
      <c r="G124" s="104" t="s">
        <v>0</v>
      </c>
      <c r="H124" s="104" t="s">
        <v>3</v>
      </c>
      <c r="I124" s="105">
        <v>407974</v>
      </c>
      <c r="J124" s="74"/>
      <c r="K124" s="74"/>
      <c r="L124" s="87" t="s">
        <v>178</v>
      </c>
      <c r="M124" s="88" t="s">
        <v>0</v>
      </c>
      <c r="N124" s="88" t="s">
        <v>3</v>
      </c>
      <c r="O124" s="89">
        <f>314834/2</f>
        <v>157417</v>
      </c>
      <c r="P124" s="74"/>
      <c r="Q124" s="74"/>
      <c r="R124" s="74"/>
      <c r="S124" s="74"/>
      <c r="T124" s="74"/>
      <c r="U124" s="74"/>
      <c r="V124" s="74"/>
      <c r="W124" s="72"/>
    </row>
    <row r="125" spans="1:23" ht="15">
      <c r="A125" s="74"/>
      <c r="B125" s="74"/>
      <c r="C125" s="74"/>
      <c r="D125" s="74"/>
      <c r="E125" s="74"/>
      <c r="F125" s="102" t="s">
        <v>43</v>
      </c>
      <c r="G125" s="104" t="s">
        <v>0</v>
      </c>
      <c r="H125" s="104" t="s">
        <v>3</v>
      </c>
      <c r="I125" s="105">
        <v>1219826</v>
      </c>
      <c r="J125" s="74"/>
      <c r="K125" s="74"/>
      <c r="L125" s="87" t="s">
        <v>179</v>
      </c>
      <c r="M125" s="88" t="s">
        <v>0</v>
      </c>
      <c r="N125" s="88" t="s">
        <v>3</v>
      </c>
      <c r="O125" s="89">
        <f>332582/2</f>
        <v>166291</v>
      </c>
      <c r="P125" s="74"/>
      <c r="Q125" s="74"/>
      <c r="R125" s="74"/>
      <c r="S125" s="74"/>
      <c r="T125" s="74"/>
      <c r="U125" s="74"/>
      <c r="V125" s="74"/>
      <c r="W125" s="72"/>
    </row>
    <row r="126" spans="1:23" ht="1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87" t="s">
        <v>180</v>
      </c>
      <c r="M126" s="88" t="s">
        <v>0</v>
      </c>
      <c r="N126" s="88" t="s">
        <v>3</v>
      </c>
      <c r="O126" s="89">
        <f>364406/2</f>
        <v>182203</v>
      </c>
      <c r="P126" s="74"/>
      <c r="Q126" s="74"/>
      <c r="R126" s="74"/>
      <c r="S126" s="74"/>
      <c r="T126" s="74"/>
      <c r="U126" s="74"/>
      <c r="V126" s="74"/>
      <c r="W126" s="72"/>
    </row>
    <row r="127" spans="1:23" ht="1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87" t="s">
        <v>181</v>
      </c>
      <c r="M127" s="88" t="s">
        <v>0</v>
      </c>
      <c r="N127" s="88" t="s">
        <v>3</v>
      </c>
      <c r="O127" s="89">
        <f>421628/2</f>
        <v>210814</v>
      </c>
      <c r="P127" s="74"/>
      <c r="Q127" s="74"/>
      <c r="R127" s="74"/>
      <c r="S127" s="74"/>
      <c r="T127" s="74"/>
      <c r="U127" s="74"/>
      <c r="V127" s="74"/>
      <c r="W127" s="72"/>
    </row>
    <row r="128" spans="1:23" ht="1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87" t="s">
        <v>182</v>
      </c>
      <c r="M128" s="88" t="s">
        <v>0</v>
      </c>
      <c r="N128" s="88" t="s">
        <v>3</v>
      </c>
      <c r="O128" s="89">
        <f>578535/2</f>
        <v>289267.5</v>
      </c>
      <c r="P128" s="74"/>
      <c r="Q128" s="74"/>
      <c r="R128" s="74"/>
      <c r="S128" s="74"/>
      <c r="T128" s="74"/>
      <c r="U128" s="74"/>
      <c r="V128" s="74"/>
      <c r="W128" s="72"/>
    </row>
    <row r="129" spans="1:23" ht="1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87" t="s">
        <v>183</v>
      </c>
      <c r="M129" s="88" t="s">
        <v>0</v>
      </c>
      <c r="N129" s="88" t="s">
        <v>3</v>
      </c>
      <c r="O129" s="89">
        <f>678118/2</f>
        <v>339059</v>
      </c>
      <c r="P129" s="74"/>
      <c r="Q129" s="74"/>
      <c r="R129" s="74"/>
      <c r="S129" s="74"/>
      <c r="T129" s="74"/>
      <c r="U129" s="74"/>
      <c r="V129" s="74"/>
      <c r="W129" s="72"/>
    </row>
    <row r="130" spans="1:23" ht="1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87" t="s">
        <v>184</v>
      </c>
      <c r="M130" s="88" t="s">
        <v>0</v>
      </c>
      <c r="N130" s="88" t="s">
        <v>3</v>
      </c>
      <c r="O130" s="89">
        <f>266560/2</f>
        <v>133280</v>
      </c>
      <c r="P130" s="74"/>
      <c r="Q130" s="74"/>
      <c r="R130" s="74"/>
      <c r="S130" s="74"/>
      <c r="T130" s="74"/>
      <c r="U130" s="74"/>
      <c r="V130" s="74"/>
      <c r="W130" s="72"/>
    </row>
    <row r="131" spans="1:23" ht="1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87" t="s">
        <v>185</v>
      </c>
      <c r="M131" s="88" t="s">
        <v>0</v>
      </c>
      <c r="N131" s="88" t="s">
        <v>3</v>
      </c>
      <c r="O131" s="89">
        <f>302632/2</f>
        <v>151316</v>
      </c>
      <c r="P131" s="74"/>
      <c r="Q131" s="74"/>
      <c r="R131" s="74"/>
      <c r="S131" s="74"/>
      <c r="T131" s="74"/>
      <c r="U131" s="74"/>
      <c r="V131" s="74"/>
      <c r="W131" s="72"/>
    </row>
    <row r="132" spans="1:23" ht="1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87" t="s">
        <v>186</v>
      </c>
      <c r="M132" s="88" t="s">
        <v>0</v>
      </c>
      <c r="N132" s="88" t="s">
        <v>3</v>
      </c>
      <c r="O132" s="89">
        <f>346693/2</f>
        <v>173346.5</v>
      </c>
      <c r="P132" s="74"/>
      <c r="Q132" s="74"/>
      <c r="R132" s="74"/>
      <c r="S132" s="74"/>
      <c r="T132" s="74"/>
      <c r="U132" s="74"/>
      <c r="V132" s="74"/>
      <c r="W132" s="72"/>
    </row>
    <row r="133" spans="1:23" ht="1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87" t="s">
        <v>187</v>
      </c>
      <c r="M133" s="88" t="s">
        <v>0</v>
      </c>
      <c r="N133" s="88" t="s">
        <v>3</v>
      </c>
      <c r="O133" s="89">
        <f>366023/2</f>
        <v>183011.5</v>
      </c>
      <c r="P133" s="74"/>
      <c r="Q133" s="74"/>
      <c r="R133" s="74"/>
      <c r="S133" s="74"/>
      <c r="T133" s="74"/>
      <c r="U133" s="74"/>
      <c r="V133" s="74"/>
      <c r="W133" s="72"/>
    </row>
    <row r="134" spans="1:23" ht="1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87" t="s">
        <v>188</v>
      </c>
      <c r="M134" s="88" t="s">
        <v>0</v>
      </c>
      <c r="N134" s="88" t="s">
        <v>3</v>
      </c>
      <c r="O134" s="89">
        <f>463780/2</f>
        <v>231890</v>
      </c>
      <c r="P134" s="74"/>
      <c r="Q134" s="74"/>
      <c r="R134" s="74"/>
      <c r="S134" s="74"/>
      <c r="T134" s="74"/>
      <c r="U134" s="74"/>
      <c r="V134" s="74"/>
      <c r="W134" s="72"/>
    </row>
    <row r="135" spans="1:23" ht="1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87" t="s">
        <v>189</v>
      </c>
      <c r="M135" s="88" t="s">
        <v>0</v>
      </c>
      <c r="N135" s="88" t="s">
        <v>3</v>
      </c>
      <c r="O135" s="89">
        <f>489956/2</f>
        <v>244978</v>
      </c>
      <c r="P135" s="74"/>
      <c r="Q135" s="74"/>
      <c r="R135" s="74"/>
      <c r="S135" s="74"/>
      <c r="T135" s="74"/>
      <c r="U135" s="74"/>
      <c r="V135" s="74"/>
      <c r="W135" s="72"/>
    </row>
    <row r="136" spans="1:23" ht="1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87" t="s">
        <v>190</v>
      </c>
      <c r="M136" s="88" t="s">
        <v>0</v>
      </c>
      <c r="N136" s="88" t="s">
        <v>3</v>
      </c>
      <c r="O136" s="89">
        <f>579577/2</f>
        <v>289788.5</v>
      </c>
      <c r="P136" s="74"/>
      <c r="Q136" s="74"/>
      <c r="R136" s="74"/>
      <c r="S136" s="74"/>
      <c r="T136" s="74"/>
      <c r="U136" s="74"/>
      <c r="V136" s="74"/>
      <c r="W136" s="72"/>
    </row>
    <row r="137" spans="1:23" ht="1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87" t="s">
        <v>191</v>
      </c>
      <c r="M137" s="88" t="s">
        <v>0</v>
      </c>
      <c r="N137" s="88" t="s">
        <v>3</v>
      </c>
      <c r="O137" s="89">
        <f>731091/2</f>
        <v>365545.5</v>
      </c>
      <c r="P137" s="74"/>
      <c r="Q137" s="74"/>
      <c r="R137" s="74"/>
      <c r="S137" s="74"/>
      <c r="T137" s="74"/>
      <c r="U137" s="74"/>
      <c r="V137" s="74"/>
      <c r="W137" s="72"/>
    </row>
    <row r="138" spans="1:23" ht="1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87" t="s">
        <v>192</v>
      </c>
      <c r="M138" s="88" t="s">
        <v>0</v>
      </c>
      <c r="N138" s="88" t="s">
        <v>3</v>
      </c>
      <c r="O138" s="89">
        <f>873446/2</f>
        <v>436723</v>
      </c>
      <c r="P138" s="74"/>
      <c r="Q138" s="74"/>
      <c r="R138" s="74"/>
      <c r="S138" s="74"/>
      <c r="T138" s="74"/>
      <c r="U138" s="74"/>
      <c r="V138" s="74"/>
      <c r="W138" s="72"/>
    </row>
    <row r="139" spans="1:23" ht="1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87" t="s">
        <v>193</v>
      </c>
      <c r="M139" s="88" t="s">
        <v>0</v>
      </c>
      <c r="N139" s="88" t="s">
        <v>3</v>
      </c>
      <c r="O139" s="89">
        <f>1027642/2</f>
        <v>513821</v>
      </c>
      <c r="P139" s="74"/>
      <c r="Q139" s="74"/>
      <c r="R139" s="74"/>
      <c r="S139" s="74"/>
      <c r="T139" s="74"/>
      <c r="U139" s="74"/>
      <c r="V139" s="74"/>
      <c r="W139" s="72"/>
    </row>
    <row r="140" spans="1:23" ht="1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87" t="s">
        <v>194</v>
      </c>
      <c r="M140" s="88" t="s">
        <v>0</v>
      </c>
      <c r="N140" s="88" t="s">
        <v>3</v>
      </c>
      <c r="O140" s="89">
        <f>1227194/2</f>
        <v>613597</v>
      </c>
      <c r="P140" s="74"/>
      <c r="Q140" s="74"/>
      <c r="R140" s="74"/>
      <c r="S140" s="74"/>
      <c r="T140" s="74"/>
      <c r="U140" s="74"/>
      <c r="V140" s="74"/>
      <c r="W140" s="72"/>
    </row>
    <row r="141" spans="1:23" ht="1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99" t="s">
        <v>265</v>
      </c>
      <c r="M141" s="88" t="s">
        <v>0</v>
      </c>
      <c r="N141" s="88" t="s">
        <v>3</v>
      </c>
      <c r="O141" s="89">
        <v>305960</v>
      </c>
      <c r="P141" s="74"/>
      <c r="Q141" s="74"/>
      <c r="R141" s="74"/>
      <c r="S141" s="74"/>
      <c r="T141" s="74"/>
      <c r="U141" s="74"/>
      <c r="V141" s="74"/>
      <c r="W141" s="72"/>
    </row>
    <row r="142" spans="1:23" ht="1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2"/>
    </row>
    <row r="143" spans="1:23" ht="1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2"/>
    </row>
    <row r="144" spans="1:23" ht="1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2"/>
    </row>
    <row r="145" spans="1:23" ht="1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2"/>
    </row>
    <row r="146" spans="1:22" ht="1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1:22" ht="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1:22" ht="1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ht="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1:22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1:22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1:22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1:22" ht="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1:22" ht="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1:22" ht="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1:22" ht="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1:22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1:22" ht="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1:22" ht="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1:22" ht="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1:22" ht="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1:22" ht="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1:22" ht="1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1:22" ht="1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ht="1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1:22" ht="1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 spans="1:22" ht="1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22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1:22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 spans="1:22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1:22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1:22" ht="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ht="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1:22" ht="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1:22" ht="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 spans="1:22" ht="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 spans="1:22" ht="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 spans="1:22" ht="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 spans="1:22" ht="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 spans="1:22" ht="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ht="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 spans="1:22" ht="1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1:22" ht="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1:22" ht="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ht="1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 spans="1:22" ht="1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</row>
    <row r="187" spans="1:22" ht="1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</row>
    <row r="188" spans="1:22" ht="1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ht="1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</row>
    <row r="190" spans="1:22" ht="1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</row>
    <row r="191" spans="1:22" ht="1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</row>
    <row r="192" spans="1:22" ht="1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ht="1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</row>
    <row r="194" spans="1:22" ht="1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</row>
  </sheetData>
  <sheetProtection password="CA9C" sheet="1"/>
  <mergeCells count="32">
    <mergeCell ref="A61:E61"/>
    <mergeCell ref="F61:I61"/>
    <mergeCell ref="L61:O61"/>
    <mergeCell ref="R61:T61"/>
    <mergeCell ref="X40:AG40"/>
    <mergeCell ref="X41:AG41"/>
    <mergeCell ref="X13:Z13"/>
    <mergeCell ref="Y37:AA37"/>
    <mergeCell ref="AB16:AG16"/>
    <mergeCell ref="X53:AG85"/>
    <mergeCell ref="X44:AG44"/>
    <mergeCell ref="X14:Z14"/>
    <mergeCell ref="A1:E1"/>
    <mergeCell ref="F1:I1"/>
    <mergeCell ref="L1:O1"/>
    <mergeCell ref="R1:T1"/>
    <mergeCell ref="X1:AG2"/>
    <mergeCell ref="X42:AG42"/>
    <mergeCell ref="X9:Z9"/>
    <mergeCell ref="X10:Z10"/>
    <mergeCell ref="X18:Y18"/>
    <mergeCell ref="A31:B31"/>
    <mergeCell ref="X8:Z8"/>
    <mergeCell ref="AC37:AF37"/>
    <mergeCell ref="X52:AG52"/>
    <mergeCell ref="X15:Z15"/>
    <mergeCell ref="X16:Z16"/>
    <mergeCell ref="Y35:AA35"/>
    <mergeCell ref="AE35:AF35"/>
    <mergeCell ref="X43:AG43"/>
    <mergeCell ref="X11:Z11"/>
    <mergeCell ref="X12:Z12"/>
  </mergeCells>
  <dataValidations count="9">
    <dataValidation type="list" allowBlank="1" showInputMessage="1" showErrorMessage="1" sqref="F50">
      <formula1>$L$19:$L$22</formula1>
    </dataValidation>
    <dataValidation type="list" allowBlank="1" showInputMessage="1" showErrorMessage="1" sqref="Z21">
      <formula1>$F$62:$F$85</formula1>
    </dataValidation>
    <dataValidation type="list" allowBlank="1" showInputMessage="1" showErrorMessage="1" sqref="Z19">
      <formula1>$E$33:$E$34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Z20">
      <formula1>$F$87:$F$101</formula1>
    </dataValidation>
    <dataValidation type="list" allowBlank="1" showInputMessage="1" showErrorMessage="1" sqref="Z18">
      <formula1>$E$30:$E$31</formula1>
    </dataValidation>
    <dataValidation type="list" allowBlank="1" showInputMessage="1" showErrorMessage="1" sqref="Z24:Z25">
      <formula1>$L$62:$L$96</formula1>
    </dataValidation>
    <dataValidation type="list" allowBlank="1" showInputMessage="1" showErrorMessage="1" sqref="Z22:Z23">
      <formula1>$L$97:$L$141</formula1>
    </dataValidation>
    <dataValidation type="list" allowBlank="1" showInputMessage="1" showErrorMessage="1" sqref="Z26">
      <formula1>$R$62:$R$102</formula1>
    </dataValidation>
  </dataValidations>
  <printOptions/>
  <pageMargins left="0.5905511811023623" right="0.31496062992125984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Анатольевич Танцырев</dc:creator>
  <cp:keywords/>
  <dc:description/>
  <cp:lastModifiedBy>MAA</cp:lastModifiedBy>
  <cp:lastPrinted>2018-01-18T06:49:31Z</cp:lastPrinted>
  <dcterms:created xsi:type="dcterms:W3CDTF">2013-08-23T01:26:32Z</dcterms:created>
  <dcterms:modified xsi:type="dcterms:W3CDTF">2018-01-22T01:36:28Z</dcterms:modified>
  <cp:category/>
  <cp:version/>
  <cp:contentType/>
  <cp:contentStatus/>
</cp:coreProperties>
</file>